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OneDrive\바탕 화면\22-2\"/>
    </mc:Choice>
  </mc:AlternateContent>
  <xr:revisionPtr revIDLastSave="0" documentId="8_{10667798-FC2A-4605-90BF-8A88BE5E2882}" xr6:coauthVersionLast="36" xr6:coauthVersionMax="36" xr10:uidLastSave="{00000000-0000-0000-0000-000000000000}"/>
  <bookViews>
    <workbookView xWindow="0" yWindow="0" windowWidth="26720" windowHeight="16480" xr2:uid="{41244349-0078-45EC-AF51-A12ADD9DCA06}"/>
  </bookViews>
  <sheets>
    <sheet name="A" sheetId="1" r:id="rId1"/>
    <sheet name="설명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I8" i="1"/>
  <c r="I9" i="1"/>
  <c r="I10" i="1"/>
  <c r="I11" i="1"/>
  <c r="AF24" i="1" l="1"/>
  <c r="X9" i="1"/>
  <c r="X17" i="1" s="1"/>
  <c r="X8" i="1"/>
  <c r="AA8" i="1" s="1"/>
  <c r="X11" i="1"/>
  <c r="AA11" i="1" s="1"/>
  <c r="X10" i="1"/>
  <c r="Z11" i="1"/>
  <c r="Z10" i="1"/>
  <c r="Z9" i="1"/>
  <c r="J8" i="1"/>
  <c r="W8" i="1" s="1"/>
  <c r="AA10" i="1" l="1"/>
  <c r="AB10" i="1" s="1"/>
  <c r="AC10" i="1" s="1"/>
  <c r="Y8" i="1"/>
  <c r="AA9" i="1"/>
  <c r="Z14" i="1" s="1"/>
  <c r="AB11" i="1"/>
  <c r="AC11" i="1" s="1"/>
  <c r="J10" i="1"/>
  <c r="W10" i="1" s="1"/>
  <c r="J9" i="1"/>
  <c r="W9" i="1" s="1"/>
  <c r="J11" i="1"/>
  <c r="W11" i="1" s="1"/>
  <c r="Z8" i="1"/>
  <c r="AB8" i="1" s="1"/>
  <c r="AC8" i="1" s="1"/>
  <c r="AI19" i="1"/>
  <c r="AG22" i="1" s="1"/>
  <c r="F50" i="1"/>
  <c r="C53" i="1" s="1"/>
  <c r="S57" i="1"/>
  <c r="T57" i="1" s="1"/>
  <c r="I52" i="1"/>
  <c r="Q52" i="1" s="1"/>
  <c r="AB9" i="1" l="1"/>
  <c r="AC9" i="1" s="1"/>
  <c r="AC6" i="1" s="1"/>
  <c r="G53" i="1"/>
  <c r="N4" i="1" s="1"/>
  <c r="AE8" i="1" s="1"/>
  <c r="F53" i="1"/>
  <c r="P56" i="1"/>
  <c r="P55" i="1"/>
  <c r="AD6" i="1" l="1"/>
  <c r="AD7" i="1" s="1"/>
  <c r="AC5" i="1"/>
  <c r="AH8" i="1"/>
  <c r="AI8" i="1"/>
  <c r="M4" i="1"/>
  <c r="AD19" i="1" l="1"/>
  <c r="AD20" i="1" s="1"/>
  <c r="AD21" i="1" s="1"/>
  <c r="AG8" i="1"/>
  <c r="AG9" i="1" s="1"/>
  <c r="AE9" i="1"/>
  <c r="AE10" i="1" s="1"/>
  <c r="AH9" i="1"/>
  <c r="AG2" i="1"/>
  <c r="AG3" i="1" s="1"/>
  <c r="AG4" i="1" s="1"/>
  <c r="AH2" i="1"/>
  <c r="AH3" i="1" s="1"/>
  <c r="AH4" i="1" s="1"/>
  <c r="C15" i="1" l="1"/>
  <c r="AG10" i="1"/>
  <c r="E17" i="1" s="1"/>
  <c r="AH10" i="1"/>
  <c r="F17" i="1" s="1"/>
  <c r="C17" i="1" l="1"/>
</calcChain>
</file>

<file path=xl/sharedStrings.xml><?xml version="1.0" encoding="utf-8"?>
<sst xmlns="http://schemas.openxmlformats.org/spreadsheetml/2006/main" count="74" uniqueCount="68">
  <si>
    <t>월</t>
    <phoneticPr fontId="2" type="noConversion"/>
  </si>
  <si>
    <t>일</t>
    <phoneticPr fontId="2" type="noConversion"/>
  </si>
  <si>
    <t>시
(24시 기준)</t>
    <phoneticPr fontId="2" type="noConversion"/>
  </si>
  <si>
    <t>본인등수</t>
    <phoneticPr fontId="2" type="noConversion"/>
  </si>
  <si>
    <t>참여인원</t>
    <phoneticPr fontId="2" type="noConversion"/>
  </si>
  <si>
    <t>지원자수</t>
    <phoneticPr fontId="2" type="noConversion"/>
  </si>
  <si>
    <t>모집인원</t>
    <phoneticPr fontId="2" type="noConversion"/>
  </si>
  <si>
    <t>계수</t>
    <phoneticPr fontId="2" type="noConversion"/>
  </si>
  <si>
    <t>지원자수/참여인원</t>
    <phoneticPr fontId="2" type="noConversion"/>
  </si>
  <si>
    <t>이 색깔만 수정 가능</t>
    <phoneticPr fontId="2" type="noConversion"/>
  </si>
  <si>
    <t>예측구간</t>
    <phoneticPr fontId="2" type="noConversion"/>
  </si>
  <si>
    <t>yhat0</t>
    <phoneticPr fontId="2" type="noConversion"/>
  </si>
  <si>
    <t>min</t>
    <phoneticPr fontId="2" type="noConversion"/>
  </si>
  <si>
    <t>max</t>
    <phoneticPr fontId="2" type="noConversion"/>
  </si>
  <si>
    <t>예측 구간</t>
    <phoneticPr fontId="2" type="noConversion"/>
  </si>
  <si>
    <t>Max</t>
    <phoneticPr fontId="2" type="noConversion"/>
  </si>
  <si>
    <t>Min</t>
    <phoneticPr fontId="2" type="noConversion"/>
  </si>
  <si>
    <t>sxx</t>
    <phoneticPr fontId="2" type="noConversion"/>
  </si>
  <si>
    <t>s</t>
    <phoneticPr fontId="2" type="noConversion"/>
  </si>
  <si>
    <t>n</t>
    <phoneticPr fontId="2" type="noConversion"/>
  </si>
  <si>
    <t>xbar</t>
    <phoneticPr fontId="2" type="noConversion"/>
  </si>
  <si>
    <t>Ver 1.0</t>
    <phoneticPr fontId="2" type="noConversion"/>
  </si>
  <si>
    <t>표본수</t>
    <phoneticPr fontId="2" type="noConversion"/>
  </si>
  <si>
    <t>확률</t>
    <phoneticPr fontId="2" type="noConversion"/>
  </si>
  <si>
    <t>시간 %</t>
    <phoneticPr fontId="2" type="noConversion"/>
  </si>
  <si>
    <t>예상등수</t>
    <phoneticPr fontId="2" type="noConversion"/>
  </si>
  <si>
    <t>예상 참여인원</t>
    <phoneticPr fontId="2" type="noConversion"/>
  </si>
  <si>
    <t>STDDV</t>
    <phoneticPr fontId="2" type="noConversion"/>
  </si>
  <si>
    <t>최초합</t>
    <phoneticPr fontId="2" type="noConversion"/>
  </si>
  <si>
    <t>누백이 높을수록 단순 등수의 숫자가 낮을수록 그리고 실제/이용자가 클수록</t>
    <phoneticPr fontId="2" type="noConversion"/>
  </si>
  <si>
    <t>안한사람이 많아지면 더 보수적으로 잡아야함.</t>
    <phoneticPr fontId="2" type="noConversion"/>
  </si>
  <si>
    <t>계수가 -일 가능성은 커짐.</t>
    <phoneticPr fontId="2" type="noConversion"/>
  </si>
  <si>
    <t>결과 해석</t>
    <phoneticPr fontId="2" type="noConversion"/>
  </si>
  <si>
    <t>사용법</t>
    <phoneticPr fontId="2" type="noConversion"/>
  </si>
  <si>
    <t>마감일</t>
    <phoneticPr fontId="2" type="noConversion"/>
  </si>
  <si>
    <t>시</t>
    <phoneticPr fontId="2" type="noConversion"/>
  </si>
  <si>
    <t>첫 배포 / 날짜 수정</t>
    <phoneticPr fontId="2" type="noConversion"/>
  </si>
  <si>
    <t>등수가 높아지면 높아질수록 추정 구간의 넓이 자체가 넓어져서 
max와 min의 차이가 50이 넘어가 사실상 의미가 없다고 생각하시는 분들도 계실겁니다.
하지만 등수의 값 자체가 높아진다는 것은 그만큼 위에서의 변수 또한 매우 많다는 이야기로
추정구간의 의미가 없는 것은 절대 아님을 미리 알려드립니다.</t>
    <phoneticPr fontId="2" type="noConversion"/>
  </si>
  <si>
    <t>예측확률 (%)</t>
    <phoneticPr fontId="2" type="noConversion"/>
  </si>
  <si>
    <t>2. 본인 등수에 점공시간 기준 본인의 등수를 입력하세요.</t>
    <phoneticPr fontId="2" type="noConversion"/>
  </si>
  <si>
    <t>3. 참여인원에 점공시간 기준 참여인원을 입력해주세요.</t>
    <phoneticPr fontId="2" type="noConversion"/>
  </si>
  <si>
    <t>1. 월 일 시에 점공시간 기준 즉, 현재 시간을 입력해주세요.</t>
    <phoneticPr fontId="2" type="noConversion"/>
  </si>
  <si>
    <t>4. 지원자수에 실제 지원자수를 입력해주세요.</t>
    <phoneticPr fontId="2" type="noConversion"/>
  </si>
  <si>
    <t>5. 모집인원에 실제 모집인원이 몇 명인지 적어주세요.</t>
    <phoneticPr fontId="2" type="noConversion"/>
  </si>
  <si>
    <t>6. 예측확률에 본인이 확인하고 싶은 예측 확률을 적어주세요.</t>
    <phoneticPr fontId="2" type="noConversion"/>
  </si>
  <si>
    <t>1. 예상실제등수: 계산상 예측되는 등수</t>
    <phoneticPr fontId="2" type="noConversion"/>
  </si>
  <si>
    <t>1.1 예상예비번호: 계산상 예측되는 예비번호</t>
    <phoneticPr fontId="2" type="noConversion"/>
  </si>
  <si>
    <t>2. 예측구간: 학생이 지정한 예측확률에 따라서 어디에 위치할 것인지 예측되는 구간.</t>
    <phoneticPr fontId="2" type="noConversion"/>
  </si>
  <si>
    <r>
      <t xml:space="preserve">해당 점공순위 계산기의 표본은 최상위권 의대부터 흔히 이야기하는 건동홍라인까지 포진되어있으며
제작자의 입장에서 말씀드리자면 대략 </t>
    </r>
    <r>
      <rPr>
        <b/>
        <u/>
        <sz val="11"/>
        <color theme="1"/>
        <rFont val="맑은 고딕"/>
        <family val="3"/>
        <charset val="129"/>
        <scheme val="minor"/>
      </rPr>
      <t>문이과 서성한 라인</t>
    </r>
    <r>
      <rPr>
        <b/>
        <sz val="11"/>
        <color theme="1"/>
        <rFont val="맑은 고딕"/>
        <family val="3"/>
        <charset val="129"/>
        <scheme val="minor"/>
      </rPr>
      <t>쯤이 가장 적절하다고 보여집니다.
해당 라인보다 위쪽 라인은 통상적으로는 실제 등수보다 안 좋게 나오고,
 아래라인은 실제 등수보다 좋게 나올 것으로 생각됩니다.
위의 사항을 숙지하시고 사용해주시기 바랍니다.</t>
    </r>
    <phoneticPr fontId="2" type="noConversion"/>
  </si>
  <si>
    <t>Ver 1.1</t>
    <phoneticPr fontId="2" type="noConversion"/>
  </si>
  <si>
    <t>날짜 재수정</t>
    <phoneticPr fontId="2" type="noConversion"/>
  </si>
  <si>
    <t>내년 점공순위 계산기를 위한 정보수집 설문지 링크입니다.
https://forms.gle/37aqjja7EM2D1KtB9</t>
    <phoneticPr fontId="2" type="noConversion"/>
  </si>
  <si>
    <r>
      <t xml:space="preserve">점공순위 계산기 2023 Ver 2.0
Made by SemPer_
</t>
    </r>
    <r>
      <rPr>
        <b/>
        <sz val="2"/>
        <color theme="0" tint="-4.9989318521683403E-2"/>
        <rFont val="맑은 고딕"/>
        <family val="3"/>
        <charset val="129"/>
        <scheme val="minor"/>
      </rPr>
      <t xml:space="preserve">
</t>
    </r>
    <r>
      <rPr>
        <b/>
        <sz val="11"/>
        <color theme="0" tint="-4.9989318521683403E-2"/>
        <rFont val="맑은 고딕"/>
        <family val="3"/>
        <charset val="129"/>
        <scheme val="minor"/>
      </rPr>
      <t>Assisted by 현자</t>
    </r>
    <phoneticPr fontId="2" type="noConversion"/>
  </si>
  <si>
    <t>Ver 2.0</t>
    <phoneticPr fontId="2" type="noConversion"/>
  </si>
  <si>
    <t>과거 학과 기록에 의한 순위 예측 알고리즘 탑재</t>
    <phoneticPr fontId="2" type="noConversion"/>
  </si>
  <si>
    <t>학년도</t>
    <phoneticPr fontId="2" type="noConversion"/>
  </si>
  <si>
    <t>21학년도</t>
    <phoneticPr fontId="2" type="noConversion"/>
  </si>
  <si>
    <t>22학년도</t>
    <phoneticPr fontId="2" type="noConversion"/>
  </si>
  <si>
    <t>점공 등수</t>
    <phoneticPr fontId="2" type="noConversion"/>
  </si>
  <si>
    <t>실제 등수</t>
    <phoneticPr fontId="2" type="noConversion"/>
  </si>
  <si>
    <t>yhat0</t>
    <phoneticPr fontId="2" type="noConversion"/>
  </si>
  <si>
    <t>예측</t>
    <phoneticPr fontId="2" type="noConversion"/>
  </si>
  <si>
    <t>T_inv 조정</t>
    <phoneticPr fontId="2" type="noConversion"/>
  </si>
  <si>
    <t>예측 등수</t>
    <phoneticPr fontId="2" type="noConversion"/>
  </si>
  <si>
    <t>3. 과거 반영 예상예비번호/실제등수: 21-22학년도 해당 학교 및 학과 기준 
얼마나 빗나갔는지 이용하여 추정한 번호 및 등수.</t>
    <phoneticPr fontId="2" type="noConversion"/>
  </si>
  <si>
    <t>8. 21학년도와 22학년도에 대하여 점공 페이지 아래쪽에 있는 
과거 정보들을 적어주세요.
예를 들어 최초합격자가 93등까지였으면 93, 
추가합격자가 209등까지였으면 209를 순서대로 입력해주세요.</t>
    <phoneticPr fontId="2" type="noConversion"/>
  </si>
  <si>
    <t xml:space="preserve">9. 과거 현황에서 각 학년도별 해당하는 지원자수를 적고, 
각 학년도 실제 등수의 첫 행은 모집인원, 두 번째 행은 모집인원+추가합격인원을 적어주세요. </t>
    <phoneticPr fontId="2" type="noConversion"/>
  </si>
  <si>
    <t>7. 하단에 결과가 나타나게 됩니다.
예상실제등수는 예상예비번호로 바뀔 수 있으며
예측 구간의 경우 예비번호 기준입니다.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</si>
</sst>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%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theme="0" tint="-4.9989318521683403E-2"/>
      <name val="맑은 고딕"/>
      <family val="3"/>
      <charset val="129"/>
      <scheme val="minor"/>
    </font>
    <font>
      <b/>
      <sz val="14"/>
      <color theme="0" tint="-4.9989318521683403E-2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2"/>
      <color theme="0" tint="-4.9989318521683403E-2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3" fillId="11" borderId="1" xfId="0" applyFont="1" applyFill="1" applyBorder="1" applyAlignment="1" applyProtection="1">
      <alignment horizontal="center" vertical="center"/>
    </xf>
    <xf numFmtId="0" fontId="3" fillId="11" borderId="1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5" fillId="4" borderId="0" xfId="0" applyFont="1" applyFill="1" applyProtection="1">
      <alignment vertical="center"/>
    </xf>
    <xf numFmtId="0" fontId="8" fillId="0" borderId="0" xfId="0" applyFont="1" applyProtection="1">
      <alignment vertical="center"/>
    </xf>
    <xf numFmtId="0" fontId="3" fillId="5" borderId="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/>
    </xf>
    <xf numFmtId="0" fontId="3" fillId="8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10" borderId="1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176" fontId="0" fillId="0" borderId="0" xfId="1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9" fontId="3" fillId="6" borderId="11" xfId="0" applyNumberFormat="1" applyFont="1" applyFill="1" applyBorder="1" applyAlignment="1" applyProtection="1">
      <alignment horizontal="center" vertical="center"/>
    </xf>
    <xf numFmtId="0" fontId="3" fillId="6" borderId="10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9" borderId="1" xfId="0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5" borderId="15" xfId="0" applyFont="1" applyFill="1" applyBorder="1" applyAlignment="1" applyProtection="1">
      <alignment horizontal="center" vertical="center"/>
    </xf>
    <xf numFmtId="0" fontId="3" fillId="5" borderId="16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colors>
    <mruColors>
      <color rgb="FF00D3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622300</xdr:colOff>
          <xdr:row>1</xdr:row>
          <xdr:rowOff>6350</xdr:rowOff>
        </xdr:from>
        <xdr:to>
          <xdr:col>19</xdr:col>
          <xdr:colOff>533400</xdr:colOff>
          <xdr:row>20</xdr:row>
          <xdr:rowOff>95250</xdr:rowOff>
        </xdr:to>
        <xdr:pic>
          <xdr:nvPicPr>
            <xdr:cNvPr id="3" name="그림 2">
              <a:extLst>
                <a:ext uri="{FF2B5EF4-FFF2-40B4-BE49-F238E27FC236}">
                  <a16:creationId xmlns:a16="http://schemas.microsoft.com/office/drawing/2014/main" id="{2C3DC521-825B-44EF-90A1-655CFE48BB1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!$B$2:$L$18" spid="_x0000_s515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08100" y="222250"/>
              <a:ext cx="12255500" cy="4191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DDEEF-8F21-4DEA-99C9-F5F8ECA927C0}">
  <sheetPr>
    <pageSetUpPr autoPageBreaks="0"/>
  </sheetPr>
  <dimension ref="B2:AI201"/>
  <sheetViews>
    <sheetView tabSelected="1" showWhiteSpace="0" zoomScaleNormal="100" workbookViewId="0">
      <selection activeCell="C4" sqref="C4"/>
    </sheetView>
  </sheetViews>
  <sheetFormatPr defaultRowHeight="17" x14ac:dyDescent="0.45"/>
  <cols>
    <col min="1" max="1" width="8.6640625" style="8"/>
    <col min="2" max="2" width="15.83203125" style="8" customWidth="1"/>
    <col min="3" max="7" width="10.58203125" style="7" customWidth="1"/>
    <col min="8" max="8" width="17" style="7" customWidth="1"/>
    <col min="9" max="9" width="15.58203125" style="8" customWidth="1"/>
    <col min="10" max="12" width="19.83203125" style="8" customWidth="1"/>
    <col min="13" max="13" width="8.6640625" style="8"/>
    <col min="14" max="14" width="24.58203125" style="8" customWidth="1"/>
    <col min="15" max="15" width="8.6640625" style="8"/>
    <col min="16" max="16" width="9.5" style="8" customWidth="1"/>
    <col min="17" max="18" width="8.6640625" style="8"/>
    <col min="19" max="19" width="14.25" style="8" customWidth="1"/>
    <col min="20" max="22" width="8.6640625" style="8"/>
    <col min="23" max="30" width="8.6640625" style="8" hidden="1" customWidth="1"/>
    <col min="31" max="31" width="9" style="8" hidden="1" customWidth="1"/>
    <col min="32" max="35" width="8.6640625" style="8" hidden="1" customWidth="1"/>
    <col min="36" max="36" width="8.6640625" style="8" customWidth="1"/>
    <col min="37" max="16384" width="8.6640625" style="8"/>
  </cols>
  <sheetData>
    <row r="2" spans="3:35" ht="24.75" customHeight="1" thickBot="1" x14ac:dyDescent="0.5">
      <c r="AG2" s="8">
        <f>AE8-Q52*AF15*SQRT(1/AG15+(N4-AH15)^2/AE15)</f>
        <v>-0.44857393260897743</v>
      </c>
      <c r="AH2" s="8">
        <f>AE8+Q52*AF15*SQRT(1/AG15+(N4-AH15)^2/AE15)</f>
        <v>-0.43188166739102246</v>
      </c>
    </row>
    <row r="3" spans="3:35" ht="47.25" customHeight="1" thickBot="1" x14ac:dyDescent="0.5">
      <c r="C3" s="9" t="s">
        <v>0</v>
      </c>
      <c r="D3" s="9" t="s">
        <v>1</v>
      </c>
      <c r="E3" s="10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38</v>
      </c>
      <c r="M3" s="11" t="s">
        <v>7</v>
      </c>
      <c r="N3" s="12" t="s">
        <v>8</v>
      </c>
      <c r="O3" s="48" t="s">
        <v>9</v>
      </c>
      <c r="P3" s="49"/>
      <c r="Q3" s="50"/>
      <c r="AG3" s="8">
        <f>EXP(AG2)</f>
        <v>0.63853810100676056</v>
      </c>
      <c r="AH3" s="8">
        <f>EXP(AH2)</f>
        <v>0.64928620386995417</v>
      </c>
    </row>
    <row r="4" spans="3:35" ht="17.5" thickBot="1" x14ac:dyDescent="0.5">
      <c r="C4" s="1">
        <v>2</v>
      </c>
      <c r="D4" s="1">
        <v>20</v>
      </c>
      <c r="E4" s="1">
        <v>16</v>
      </c>
      <c r="F4" s="1">
        <v>100</v>
      </c>
      <c r="G4" s="1">
        <v>199</v>
      </c>
      <c r="H4" s="1">
        <v>353</v>
      </c>
      <c r="I4" s="1">
        <v>99</v>
      </c>
      <c r="J4" s="1">
        <v>80</v>
      </c>
      <c r="M4" s="11">
        <f>ROUND(1.3776*EXP(-0.427*N4)+AG55,3)</f>
        <v>0.64600000000000002</v>
      </c>
      <c r="N4" s="12">
        <f>ROUND(H4/G53,3)</f>
        <v>1.7829999999999999</v>
      </c>
      <c r="O4" s="51"/>
      <c r="P4" s="52"/>
      <c r="Q4" s="53"/>
      <c r="AG4" s="8">
        <f>ROUND($F$4/G4*H4*AG3-I4,1)</f>
        <v>14.3</v>
      </c>
      <c r="AH4" s="8">
        <f>ROUND($F$4/G4*H4*AH3-I4,1)</f>
        <v>16.2</v>
      </c>
    </row>
    <row r="5" spans="3:35" x14ac:dyDescent="0.45">
      <c r="I5" s="7"/>
      <c r="AC5" s="8" t="str">
        <f>IF(AC6&gt;=0,"min","max")</f>
        <v>min</v>
      </c>
      <c r="AD5" s="8" t="s">
        <v>62</v>
      </c>
    </row>
    <row r="6" spans="3:35" ht="17.5" thickBot="1" x14ac:dyDescent="0.5">
      <c r="I6" s="7"/>
      <c r="AC6" s="8">
        <f>SUM(AC8:AC11)/4</f>
        <v>0.52550430300308149</v>
      </c>
      <c r="AD6" s="8">
        <f>0.5-ABS(AC6)/2</f>
        <v>0.23724784849845926</v>
      </c>
      <c r="AE6" s="13"/>
      <c r="AF6" s="13"/>
      <c r="AG6" s="13" t="s">
        <v>10</v>
      </c>
      <c r="AH6" s="13"/>
    </row>
    <row r="7" spans="3:35" ht="17.5" thickBot="1" x14ac:dyDescent="0.5">
      <c r="C7" s="9" t="s">
        <v>55</v>
      </c>
      <c r="D7" s="9" t="s">
        <v>4</v>
      </c>
      <c r="E7" s="9" t="s">
        <v>5</v>
      </c>
      <c r="F7" s="9" t="s">
        <v>58</v>
      </c>
      <c r="G7" s="9" t="s">
        <v>59</v>
      </c>
      <c r="H7" s="9" t="s">
        <v>63</v>
      </c>
      <c r="I7" s="14"/>
      <c r="Z7" s="8" t="s">
        <v>60</v>
      </c>
      <c r="AA7" s="8" t="s">
        <v>61</v>
      </c>
      <c r="AD7" s="8">
        <f>-_xlfn.T.INV(AD6,155)</f>
        <v>0.71693085192101824</v>
      </c>
      <c r="AE7" s="13" t="s">
        <v>11</v>
      </c>
      <c r="AF7" s="13"/>
      <c r="AG7" s="13" t="s">
        <v>12</v>
      </c>
      <c r="AH7" s="13" t="s">
        <v>13</v>
      </c>
    </row>
    <row r="8" spans="3:35" ht="17" customHeight="1" thickBot="1" x14ac:dyDescent="0.5">
      <c r="C8" s="54" t="s">
        <v>56</v>
      </c>
      <c r="D8" s="56">
        <v>118</v>
      </c>
      <c r="E8" s="56">
        <v>159</v>
      </c>
      <c r="F8" s="1">
        <v>46</v>
      </c>
      <c r="G8" s="1">
        <v>47</v>
      </c>
      <c r="H8" s="15" t="str">
        <f>CONCATENATE(ROUND(F8/D8*E8*J8,1)," (",ROUND(F8/D8*E8*J8,1)-G8,")")</f>
        <v>48.1 (1.1)</v>
      </c>
      <c r="I8" s="16">
        <f>ROUND(E8/D8,3)</f>
        <v>1.347</v>
      </c>
      <c r="J8" s="14">
        <f>EXP(-0.4266*I8+0.3204)</f>
        <v>0.77551325834481344</v>
      </c>
      <c r="K8" s="14"/>
      <c r="M8" s="62" t="s">
        <v>51</v>
      </c>
      <c r="N8" s="63"/>
      <c r="O8" s="63"/>
      <c r="P8" s="63"/>
      <c r="Q8" s="63"/>
      <c r="R8" s="63"/>
      <c r="S8" s="63"/>
      <c r="T8" s="63"/>
      <c r="U8" s="64"/>
      <c r="W8" s="8" t="e">
        <f>IF(G8-H8&gt;=0,1,0)</f>
        <v>#VALUE!</v>
      </c>
      <c r="X8" s="8">
        <f>G8/(F8/D8*E8)</f>
        <v>0.75827180749248013</v>
      </c>
      <c r="Y8" s="8">
        <f>ROUND(F8/D8*E8*X8,1)</f>
        <v>47</v>
      </c>
      <c r="Z8" s="8">
        <f>-0.4266*I8+0.3204</f>
        <v>-0.25423019999999996</v>
      </c>
      <c r="AA8" s="8">
        <f>LN(X8)</f>
        <v>-0.27671337253360323</v>
      </c>
      <c r="AB8" s="8">
        <f>(AA8-Z8)/$AF$15*SQRT(1+1/$AG$15+(I8-$AH$15)^2/$AE$15)</f>
        <v>-0.28131968422256692</v>
      </c>
      <c r="AC8" s="8">
        <f>(0.5-_xlfn.T.DIST(AB8,155,TRUE))*2</f>
        <v>0.22115958282901438</v>
      </c>
      <c r="AE8" s="13">
        <f>-0.4266*A!N4+0.3204</f>
        <v>-0.44022779999999995</v>
      </c>
      <c r="AF8" s="13"/>
      <c r="AG8" s="13">
        <f>AE8-Q52*AF15*SQRT(1+1/AG15+(N4-AH15)^2/AE15)</f>
        <v>-0.54407616377950807</v>
      </c>
      <c r="AH8" s="13">
        <f>AE8+Q52*AF15*SQRT(1+1/AG15+(N4-AH15)^2/AE15)</f>
        <v>-0.33637943622049182</v>
      </c>
      <c r="AI8" s="8">
        <f>AF15*SQRT(1+1/AG15+(N4-AH15)^2/AE15)</f>
        <v>8.0687924937717911E-2</v>
      </c>
    </row>
    <row r="9" spans="3:35" ht="17.25" customHeight="1" thickBot="1" x14ac:dyDescent="0.5">
      <c r="C9" s="55"/>
      <c r="D9" s="57"/>
      <c r="E9" s="57"/>
      <c r="F9" s="1">
        <v>71</v>
      </c>
      <c r="G9" s="1">
        <v>72</v>
      </c>
      <c r="H9" s="15" t="str">
        <f>CONCATENATE(ROUND(F9/D8*E8*J8,1)," (",ROUND(F9/D8*E8*J8,1)-G9,")")</f>
        <v>74.2 (2.2)</v>
      </c>
      <c r="I9" s="16">
        <f>ROUND(E8/D8,3)</f>
        <v>1.347</v>
      </c>
      <c r="J9" s="14">
        <f>EXP(-0.4266*I9+0.3204)</f>
        <v>0.77551325834481344</v>
      </c>
      <c r="K9" s="14"/>
      <c r="M9" s="65"/>
      <c r="N9" s="66"/>
      <c r="O9" s="66"/>
      <c r="P9" s="66"/>
      <c r="Q9" s="66"/>
      <c r="R9" s="66"/>
      <c r="S9" s="66"/>
      <c r="T9" s="66"/>
      <c r="U9" s="67"/>
      <c r="W9" s="8" t="e">
        <f>IF(G9-H9&gt;=0,1,0)</f>
        <v>#VALUE!</v>
      </c>
      <c r="X9" s="8">
        <f>G9/(F9/D8*E8)</f>
        <v>0.75259101780494286</v>
      </c>
      <c r="Z9" s="8">
        <f>-0.4266*I9+0.3204</f>
        <v>-0.25423019999999996</v>
      </c>
      <c r="AA9" s="8">
        <f>LN(X9)</f>
        <v>-0.2842333357798269</v>
      </c>
      <c r="AB9" s="8">
        <f>(AA9-Z9)/$AF$15*SQRT(1+1/$AG$15+(I9-$AH$15)^2/$AE$15)</f>
        <v>-0.37541288582172355</v>
      </c>
      <c r="AC9" s="8">
        <f>(0.5-_xlfn.T.DIST(AB9,155,TRUE))*2</f>
        <v>0.29213333797610974</v>
      </c>
      <c r="AE9" s="13">
        <f>EXP(AE8)</f>
        <v>0.64388972629558927</v>
      </c>
      <c r="AF9" s="13"/>
      <c r="AG9" s="13">
        <f>EXP(AG8)</f>
        <v>0.58037770969742408</v>
      </c>
      <c r="AH9" s="13">
        <f>EXP(AH8)</f>
        <v>0.71435200336200821</v>
      </c>
    </row>
    <row r="10" spans="3:35" ht="17.5" thickBot="1" x14ac:dyDescent="0.5">
      <c r="C10" s="54" t="s">
        <v>57</v>
      </c>
      <c r="D10" s="56">
        <v>247</v>
      </c>
      <c r="E10" s="56">
        <v>420</v>
      </c>
      <c r="F10" s="1">
        <v>102</v>
      </c>
      <c r="G10" s="1">
        <v>105</v>
      </c>
      <c r="H10" s="15" t="str">
        <f>CONCATENATE(ROUND(F10/D10*E10*J10,1)," (",ROUND(F10/D10*E10*J10,1)-G10,")")</f>
        <v>115.7 (10.7)</v>
      </c>
      <c r="I10" s="16">
        <f>ROUND(E10/D10,3)</f>
        <v>1.7</v>
      </c>
      <c r="J10" s="14">
        <f>EXP(-0.4266*I10+0.3204)</f>
        <v>0.6670968774901016</v>
      </c>
      <c r="K10" s="14"/>
      <c r="M10" s="68"/>
      <c r="N10" s="69"/>
      <c r="O10" s="69"/>
      <c r="P10" s="69"/>
      <c r="Q10" s="69"/>
      <c r="R10" s="69"/>
      <c r="S10" s="69"/>
      <c r="T10" s="69"/>
      <c r="U10" s="70"/>
      <c r="W10" s="8" t="e">
        <f>IF(G10-H10&gt;=0,1,0)</f>
        <v>#VALUE!</v>
      </c>
      <c r="X10" s="8">
        <f>G10/(F10/D10*E10)</f>
        <v>0.60539215686274506</v>
      </c>
      <c r="Z10" s="8">
        <f>-0.4266*I10+0.3204</f>
        <v>-0.40481999999999996</v>
      </c>
      <c r="AA10" s="8">
        <f>LN(X10)</f>
        <v>-0.50187883777618458</v>
      </c>
      <c r="AB10" s="8">
        <f>(AA10-Z10)/$AF$15*SQRT(1+1/$AG$15+(I10-$AH$15)^2/$AE$15)</f>
        <v>-1.2107349189441505</v>
      </c>
      <c r="AC10" s="8">
        <f t="shared" ref="AC10:AC11" si="0">(0.5-_xlfn.T.DIST(AB10,155,TRUE))*2</f>
        <v>0.77216008117681556</v>
      </c>
      <c r="AE10" s="13">
        <f>ROUND(A!$F$4/A!$G$4*A!$H$4*A!AE9-A!$I$4,1)</f>
        <v>15.2</v>
      </c>
      <c r="AF10" s="13"/>
      <c r="AG10" s="13">
        <f>ROUND(A!$F$4/A!$G$4*A!$H$4*A!AG9-A!$I$4,1)</f>
        <v>4</v>
      </c>
      <c r="AH10" s="13">
        <f>ROUND(A!$F$4/A!$G$4*A!$H$4*A!AH9-A!$I$4,1)</f>
        <v>27.7</v>
      </c>
    </row>
    <row r="11" spans="3:35" ht="17.5" thickBot="1" x14ac:dyDescent="0.5">
      <c r="C11" s="55"/>
      <c r="D11" s="57"/>
      <c r="E11" s="57"/>
      <c r="F11" s="1">
        <v>157</v>
      </c>
      <c r="G11" s="1">
        <v>160</v>
      </c>
      <c r="H11" s="15" t="str">
        <f>CONCATENATE(ROUND(F11/D10*E10*J10,1)," (",ROUND(F11/D10*E10*J10,1)-G11,")")</f>
        <v>178.1 (18.1)</v>
      </c>
      <c r="I11" s="16">
        <f>ROUND(E10/D10,3)</f>
        <v>1.7</v>
      </c>
      <c r="J11" s="14">
        <f>EXP(-0.4266*I11+0.3204)</f>
        <v>0.6670968774901016</v>
      </c>
      <c r="K11" s="14"/>
      <c r="W11" s="8" t="e">
        <f>IF(G11-H11&gt;=0,1,0)</f>
        <v>#VALUE!</v>
      </c>
      <c r="X11" s="8">
        <f>G11/(F11/D10*E10)</f>
        <v>0.5993327267212617</v>
      </c>
      <c r="Z11" s="8">
        <f>-0.4266*I11+0.3204</f>
        <v>-0.40481999999999996</v>
      </c>
      <c r="AA11" s="8">
        <f t="shared" ref="AA11" si="1">LN(X11)</f>
        <v>-0.51193836476391807</v>
      </c>
      <c r="AB11" s="8">
        <f>(AA11-Z11)/$AF$15*SQRT(1+1/$AG$15+(I11-$AH$15)^2/$AE$15)</f>
        <v>-1.3362198399587155</v>
      </c>
      <c r="AC11" s="8">
        <f t="shared" si="0"/>
        <v>0.81656421003038626</v>
      </c>
    </row>
    <row r="12" spans="3:35" ht="16.5" customHeight="1" thickBot="1" x14ac:dyDescent="0.5">
      <c r="H12" s="16"/>
      <c r="I12" s="14"/>
      <c r="V12" s="17"/>
      <c r="W12" s="17"/>
      <c r="X12" s="17"/>
      <c r="Y12" s="17"/>
    </row>
    <row r="13" spans="3:35" ht="16.5" customHeight="1" x14ac:dyDescent="0.45">
      <c r="H13" s="16"/>
      <c r="I13" s="14"/>
      <c r="M13" s="28" t="s">
        <v>48</v>
      </c>
      <c r="N13" s="29"/>
      <c r="O13" s="29"/>
      <c r="P13" s="29"/>
      <c r="Q13" s="29"/>
      <c r="R13" s="29"/>
      <c r="S13" s="29"/>
      <c r="T13" s="29"/>
      <c r="U13" s="30"/>
      <c r="V13" s="17"/>
      <c r="W13" s="17"/>
      <c r="X13" s="17"/>
      <c r="Y13" s="17"/>
    </row>
    <row r="14" spans="3:35" ht="17.5" thickBot="1" x14ac:dyDescent="0.5">
      <c r="M14" s="31"/>
      <c r="N14" s="32"/>
      <c r="O14" s="32"/>
      <c r="P14" s="32"/>
      <c r="Q14" s="32"/>
      <c r="R14" s="32"/>
      <c r="S14" s="32"/>
      <c r="T14" s="32"/>
      <c r="U14" s="33"/>
      <c r="V14" s="17"/>
      <c r="W14" s="17"/>
      <c r="X14" s="17"/>
      <c r="Y14" s="17"/>
      <c r="Z14" s="8">
        <f>EXP(AA9)</f>
        <v>0.75259101780494286</v>
      </c>
      <c r="AE14" s="8" t="s">
        <v>17</v>
      </c>
      <c r="AF14" s="8" t="s">
        <v>18</v>
      </c>
      <c r="AG14" s="8" t="s">
        <v>19</v>
      </c>
      <c r="AH14" s="8" t="s">
        <v>20</v>
      </c>
    </row>
    <row r="15" spans="3:35" ht="17.5" thickBot="1" x14ac:dyDescent="0.5">
      <c r="C15" s="58" t="str">
        <f>IF(AE10&lt;0,"예상실제등수","예상예비번호")</f>
        <v>예상예비번호</v>
      </c>
      <c r="D15" s="59"/>
      <c r="E15" s="26" t="s">
        <v>14</v>
      </c>
      <c r="F15" s="27"/>
      <c r="M15" s="31"/>
      <c r="N15" s="32"/>
      <c r="O15" s="32"/>
      <c r="P15" s="32"/>
      <c r="Q15" s="32"/>
      <c r="R15" s="32"/>
      <c r="S15" s="32"/>
      <c r="T15" s="32"/>
      <c r="U15" s="33"/>
      <c r="V15" s="17"/>
      <c r="W15" s="17"/>
      <c r="X15" s="17"/>
      <c r="Y15" s="17"/>
      <c r="AE15" s="8">
        <v>25.592567741935483</v>
      </c>
      <c r="AF15" s="8">
        <v>8.0426917557469002E-2</v>
      </c>
      <c r="AG15" s="8">
        <v>155</v>
      </c>
      <c r="AH15" s="8">
        <v>1.74741935483871</v>
      </c>
    </row>
    <row r="16" spans="3:35" ht="17.5" thickBot="1" x14ac:dyDescent="0.5">
      <c r="C16" s="60"/>
      <c r="D16" s="61"/>
      <c r="E16" s="18" t="s">
        <v>15</v>
      </c>
      <c r="F16" s="19" t="s">
        <v>16</v>
      </c>
      <c r="M16" s="31"/>
      <c r="N16" s="32"/>
      <c r="O16" s="32"/>
      <c r="P16" s="32"/>
      <c r="Q16" s="32"/>
      <c r="R16" s="32"/>
      <c r="S16" s="32"/>
      <c r="T16" s="32"/>
      <c r="U16" s="33"/>
      <c r="V16" s="17"/>
      <c r="W16" s="17"/>
      <c r="X16" s="17"/>
      <c r="Y16" s="17"/>
    </row>
    <row r="17" spans="3:35" ht="17.5" thickBot="1" x14ac:dyDescent="0.5">
      <c r="C17" s="37">
        <f>IF(AE10&lt;0,I4+AE10,AE10)</f>
        <v>15.2</v>
      </c>
      <c r="D17" s="38"/>
      <c r="E17" s="20">
        <f>IF(AG10&lt;0,R55,AG10)</f>
        <v>4</v>
      </c>
      <c r="F17" s="20">
        <f>IF(AH10&lt;0,R55,AH10)</f>
        <v>27.7</v>
      </c>
      <c r="M17" s="31"/>
      <c r="N17" s="32"/>
      <c r="O17" s="32"/>
      <c r="P17" s="32"/>
      <c r="Q17" s="32"/>
      <c r="R17" s="32"/>
      <c r="S17" s="32"/>
      <c r="T17" s="32"/>
      <c r="U17" s="33"/>
      <c r="V17" s="17"/>
      <c r="W17" s="17"/>
      <c r="X17" s="17">
        <f>ROUND(F9/D8*E8*X9,1)</f>
        <v>72</v>
      </c>
      <c r="Y17" s="17"/>
    </row>
    <row r="18" spans="3:35" x14ac:dyDescent="0.45">
      <c r="M18" s="31"/>
      <c r="N18" s="32"/>
      <c r="O18" s="32"/>
      <c r="P18" s="32"/>
      <c r="Q18" s="32"/>
      <c r="R18" s="32"/>
      <c r="S18" s="32"/>
      <c r="T18" s="32"/>
      <c r="U18" s="33"/>
      <c r="V18" s="17"/>
      <c r="W18" s="17"/>
      <c r="X18" s="17"/>
      <c r="Y18" s="17"/>
    </row>
    <row r="19" spans="3:35" ht="17.25" customHeight="1" x14ac:dyDescent="0.45">
      <c r="M19" s="31"/>
      <c r="N19" s="32"/>
      <c r="O19" s="32"/>
      <c r="P19" s="32"/>
      <c r="Q19" s="32"/>
      <c r="R19" s="32"/>
      <c r="S19" s="32"/>
      <c r="T19" s="32"/>
      <c r="U19" s="33"/>
      <c r="V19" s="17"/>
      <c r="W19" s="17"/>
      <c r="X19" s="17"/>
      <c r="Y19" s="17"/>
      <c r="AD19" s="8">
        <f>AE8-AD7*AF15*SQRT(1+1/AG15+(N4-AH15)^2/AE15)</f>
        <v>-0.49807546276533721</v>
      </c>
      <c r="AI19" s="8">
        <f>$AF$15*SQRT(1+1/$AG$15+(I8-$AH$15)^2/$AE$15)</f>
        <v>8.0936678274818041E-2</v>
      </c>
    </row>
    <row r="20" spans="3:35" ht="17.25" customHeight="1" thickBot="1" x14ac:dyDescent="0.5">
      <c r="M20" s="34"/>
      <c r="N20" s="35"/>
      <c r="O20" s="35"/>
      <c r="P20" s="35"/>
      <c r="Q20" s="35"/>
      <c r="R20" s="35"/>
      <c r="S20" s="35"/>
      <c r="T20" s="35"/>
      <c r="U20" s="36"/>
      <c r="AD20" s="8">
        <f>EXP(AD19)</f>
        <v>0.60769907451948013</v>
      </c>
    </row>
    <row r="21" spans="3:35" ht="17.25" customHeight="1" thickBot="1" x14ac:dyDescent="0.5">
      <c r="V21" s="17"/>
      <c r="W21" s="17"/>
      <c r="X21" s="17"/>
      <c r="Y21" s="17"/>
      <c r="AD21" s="8">
        <f>ROUND(A!$F$4/A!$G$4*A!$H$4*A!AD20-A!$I$4,1)</f>
        <v>8.8000000000000007</v>
      </c>
    </row>
    <row r="22" spans="3:35" ht="17.25" customHeight="1" thickBot="1" x14ac:dyDescent="0.5">
      <c r="C22" s="39" t="s">
        <v>52</v>
      </c>
      <c r="D22" s="39"/>
      <c r="E22" s="39"/>
      <c r="F22" s="39"/>
      <c r="G22" s="39"/>
      <c r="H22" s="39"/>
      <c r="I22" s="39"/>
      <c r="M22" s="28" t="s">
        <v>37</v>
      </c>
      <c r="N22" s="29"/>
      <c r="O22" s="29"/>
      <c r="P22" s="29"/>
      <c r="Q22" s="29"/>
      <c r="R22" s="29"/>
      <c r="S22" s="29"/>
      <c r="T22" s="29"/>
      <c r="U22" s="30"/>
      <c r="V22" s="17"/>
      <c r="W22" s="17"/>
      <c r="X22" s="17"/>
      <c r="Y22" s="17"/>
      <c r="AG22" s="8">
        <f>Z8+AI19*_xlfn.T.INV((1-0.11)/2,115)</f>
        <v>-0.26544891206796012</v>
      </c>
    </row>
    <row r="23" spans="3:35" ht="17.25" customHeight="1" thickBot="1" x14ac:dyDescent="0.5">
      <c r="C23" s="39"/>
      <c r="D23" s="39"/>
      <c r="E23" s="39"/>
      <c r="F23" s="39"/>
      <c r="G23" s="39"/>
      <c r="H23" s="39"/>
      <c r="I23" s="39"/>
      <c r="M23" s="31"/>
      <c r="N23" s="32"/>
      <c r="O23" s="32"/>
      <c r="P23" s="32"/>
      <c r="Q23" s="32"/>
      <c r="R23" s="32"/>
      <c r="S23" s="32"/>
      <c r="T23" s="32"/>
      <c r="U23" s="33"/>
      <c r="V23" s="17"/>
      <c r="W23" s="17"/>
      <c r="X23" s="17"/>
      <c r="Y23" s="17"/>
    </row>
    <row r="24" spans="3:35" ht="17.25" customHeight="1" thickBot="1" x14ac:dyDescent="0.5">
      <c r="C24" s="39"/>
      <c r="D24" s="39"/>
      <c r="E24" s="39"/>
      <c r="F24" s="39"/>
      <c r="G24" s="39"/>
      <c r="H24" s="39"/>
      <c r="I24" s="39"/>
      <c r="M24" s="31"/>
      <c r="N24" s="32"/>
      <c r="O24" s="32"/>
      <c r="P24" s="32"/>
      <c r="Q24" s="32"/>
      <c r="R24" s="32"/>
      <c r="S24" s="32"/>
      <c r="T24" s="32"/>
      <c r="U24" s="33"/>
      <c r="V24" s="17"/>
      <c r="W24" s="17"/>
      <c r="X24" s="17"/>
      <c r="Y24" s="17"/>
      <c r="AF24" s="8">
        <f>_xlfn.T.INV((1-0.11)/2,115)</f>
        <v>-0.13861097721193069</v>
      </c>
    </row>
    <row r="25" spans="3:35" ht="17.5" thickBot="1" x14ac:dyDescent="0.5">
      <c r="C25" s="39"/>
      <c r="D25" s="39"/>
      <c r="E25" s="39"/>
      <c r="F25" s="39"/>
      <c r="G25" s="39"/>
      <c r="H25" s="39"/>
      <c r="I25" s="39"/>
      <c r="M25" s="31"/>
      <c r="N25" s="32"/>
      <c r="O25" s="32"/>
      <c r="P25" s="32"/>
      <c r="Q25" s="32"/>
      <c r="R25" s="32"/>
      <c r="S25" s="32"/>
      <c r="T25" s="32"/>
      <c r="U25" s="33"/>
      <c r="V25" s="17"/>
      <c r="W25" s="17"/>
      <c r="X25" s="17"/>
      <c r="Y25" s="17"/>
    </row>
    <row r="26" spans="3:35" ht="17.5" thickBot="1" x14ac:dyDescent="0.5">
      <c r="C26" s="39"/>
      <c r="D26" s="39"/>
      <c r="E26" s="39"/>
      <c r="F26" s="39"/>
      <c r="G26" s="39"/>
      <c r="H26" s="39"/>
      <c r="I26" s="39"/>
      <c r="M26" s="31"/>
      <c r="N26" s="32"/>
      <c r="O26" s="32"/>
      <c r="P26" s="32"/>
      <c r="Q26" s="32"/>
      <c r="R26" s="32"/>
      <c r="S26" s="32"/>
      <c r="T26" s="32"/>
      <c r="U26" s="33"/>
      <c r="V26" s="17"/>
      <c r="W26" s="17"/>
      <c r="X26" s="17"/>
      <c r="Y26" s="17"/>
    </row>
    <row r="27" spans="3:35" ht="17.5" thickBot="1" x14ac:dyDescent="0.5">
      <c r="C27" s="39"/>
      <c r="D27" s="39"/>
      <c r="E27" s="39"/>
      <c r="F27" s="39"/>
      <c r="G27" s="39"/>
      <c r="H27" s="39"/>
      <c r="I27" s="39"/>
      <c r="M27" s="31"/>
      <c r="N27" s="32"/>
      <c r="O27" s="32"/>
      <c r="P27" s="32"/>
      <c r="Q27" s="32"/>
      <c r="R27" s="32"/>
      <c r="S27" s="32"/>
      <c r="T27" s="32"/>
      <c r="U27" s="33"/>
      <c r="V27" s="17"/>
      <c r="W27" s="17"/>
      <c r="X27" s="17"/>
      <c r="Y27" s="17"/>
    </row>
    <row r="28" spans="3:35" ht="17.5" thickBot="1" x14ac:dyDescent="0.5">
      <c r="M28" s="31"/>
      <c r="N28" s="32"/>
      <c r="O28" s="32"/>
      <c r="P28" s="32"/>
      <c r="Q28" s="32"/>
      <c r="R28" s="32"/>
      <c r="S28" s="32"/>
      <c r="T28" s="32"/>
      <c r="U28" s="33"/>
      <c r="V28" s="17"/>
      <c r="W28" s="17"/>
      <c r="X28" s="17"/>
      <c r="Y28" s="17"/>
    </row>
    <row r="29" spans="3:35" ht="17.5" thickBot="1" x14ac:dyDescent="0.5">
      <c r="C29" s="40" t="s">
        <v>21</v>
      </c>
      <c r="D29" s="42" t="s">
        <v>36</v>
      </c>
      <c r="E29" s="43"/>
      <c r="F29" s="43"/>
      <c r="G29" s="43"/>
      <c r="H29" s="43"/>
      <c r="I29" s="44"/>
      <c r="M29" s="34"/>
      <c r="N29" s="35"/>
      <c r="O29" s="35"/>
      <c r="P29" s="35"/>
      <c r="Q29" s="35"/>
      <c r="R29" s="35"/>
      <c r="S29" s="35"/>
      <c r="T29" s="35"/>
      <c r="U29" s="36"/>
    </row>
    <row r="30" spans="3:35" ht="16.5" customHeight="1" thickBot="1" x14ac:dyDescent="0.5">
      <c r="C30" s="41"/>
      <c r="D30" s="45"/>
      <c r="E30" s="46"/>
      <c r="F30" s="46"/>
      <c r="G30" s="46"/>
      <c r="H30" s="46"/>
      <c r="I30" s="47"/>
    </row>
    <row r="31" spans="3:35" x14ac:dyDescent="0.45">
      <c r="C31" s="40" t="s">
        <v>49</v>
      </c>
      <c r="D31" s="42" t="s">
        <v>50</v>
      </c>
      <c r="E31" s="43"/>
      <c r="F31" s="43"/>
      <c r="G31" s="43"/>
      <c r="H31" s="43"/>
      <c r="I31" s="44"/>
    </row>
    <row r="32" spans="3:35" ht="17.5" thickBot="1" x14ac:dyDescent="0.5">
      <c r="C32" s="41"/>
      <c r="D32" s="45"/>
      <c r="E32" s="46"/>
      <c r="F32" s="46"/>
      <c r="G32" s="46"/>
      <c r="H32" s="46"/>
      <c r="I32" s="47"/>
    </row>
    <row r="33" spans="3:16" x14ac:dyDescent="0.45">
      <c r="C33" s="40" t="s">
        <v>53</v>
      </c>
      <c r="D33" s="42" t="s">
        <v>54</v>
      </c>
      <c r="E33" s="43"/>
      <c r="F33" s="43"/>
      <c r="G33" s="43"/>
      <c r="H33" s="43"/>
      <c r="I33" s="44"/>
    </row>
    <row r="34" spans="3:16" ht="17.5" thickBot="1" x14ac:dyDescent="0.5">
      <c r="C34" s="41"/>
      <c r="D34" s="45"/>
      <c r="E34" s="46"/>
      <c r="F34" s="46"/>
      <c r="G34" s="46"/>
      <c r="H34" s="46"/>
      <c r="I34" s="47"/>
    </row>
    <row r="46" spans="3:16" ht="18.75" customHeight="1" x14ac:dyDescent="0.45"/>
    <row r="48" spans="3:16" x14ac:dyDescent="0.45">
      <c r="P48" s="21" t="s">
        <v>22</v>
      </c>
    </row>
    <row r="49" spans="2:34" ht="17.5" thickBot="1" x14ac:dyDescent="0.5">
      <c r="P49" s="22">
        <v>156</v>
      </c>
    </row>
    <row r="50" spans="2:34" ht="17.25" customHeight="1" thickBot="1" x14ac:dyDescent="0.5">
      <c r="C50" s="7" t="s">
        <v>0</v>
      </c>
      <c r="D50" s="7" t="s">
        <v>1</v>
      </c>
      <c r="E50" s="7" t="s">
        <v>35</v>
      </c>
      <c r="F50" s="23">
        <f>24*20*(C4-1)+IF(D4&gt;D51,D4-D51,0)*24+E4-E51</f>
        <v>910</v>
      </c>
    </row>
    <row r="51" spans="2:34" ht="16.5" customHeight="1" x14ac:dyDescent="0.45">
      <c r="B51" s="8" t="s">
        <v>34</v>
      </c>
      <c r="C51" s="7">
        <v>1</v>
      </c>
      <c r="D51" s="7">
        <v>2</v>
      </c>
      <c r="E51" s="7">
        <v>18</v>
      </c>
      <c r="I51" s="8" t="s">
        <v>23</v>
      </c>
    </row>
    <row r="52" spans="2:34" ht="16.5" customHeight="1" x14ac:dyDescent="0.45">
      <c r="C52" s="7" t="s">
        <v>24</v>
      </c>
      <c r="F52" s="7" t="s">
        <v>25</v>
      </c>
      <c r="G52" s="7" t="s">
        <v>26</v>
      </c>
      <c r="I52" s="8">
        <f>0.5-J4/200</f>
        <v>9.9999999999999978E-2</v>
      </c>
      <c r="Q52" s="8">
        <f>-_xlfn.T.INV(I52,155)</f>
        <v>1.2870372346254724</v>
      </c>
    </row>
    <row r="53" spans="2:34" ht="16.5" customHeight="1" x14ac:dyDescent="0.45">
      <c r="C53" s="24">
        <f>(7.4*LN(F50)+73.4819-7.4*LN(24))/100</f>
        <v>1.0038379169180585</v>
      </c>
      <c r="D53" s="24"/>
      <c r="E53" s="24"/>
      <c r="F53" s="7">
        <f>ROUND(F4/C53,0)</f>
        <v>100</v>
      </c>
      <c r="G53" s="7">
        <f>ROUND(G4/C53,0)</f>
        <v>198</v>
      </c>
    </row>
    <row r="54" spans="2:34" ht="16.5" customHeight="1" x14ac:dyDescent="0.45">
      <c r="U54" s="8" t="s">
        <v>27</v>
      </c>
      <c r="AG54" s="8">
        <v>5.1781395856661631E-2</v>
      </c>
    </row>
    <row r="55" spans="2:34" ht="16.5" customHeight="1" x14ac:dyDescent="0.45">
      <c r="O55" s="8" t="s">
        <v>16</v>
      </c>
      <c r="P55" s="8" t="e">
        <f>Q52*#REF!</f>
        <v>#REF!</v>
      </c>
      <c r="R55" s="25" t="s">
        <v>28</v>
      </c>
      <c r="AG55" s="8">
        <v>2.6560663858676572E-3</v>
      </c>
    </row>
    <row r="56" spans="2:34" ht="16.5" customHeight="1" x14ac:dyDescent="0.45">
      <c r="O56" s="8" t="s">
        <v>15</v>
      </c>
      <c r="P56" s="8" t="e">
        <f>-Q52*#REF!</f>
        <v>#REF!</v>
      </c>
      <c r="AG56" s="8">
        <v>1.0032000081789556</v>
      </c>
    </row>
    <row r="57" spans="2:34" ht="16.5" customHeight="1" x14ac:dyDescent="0.45">
      <c r="H57" s="7" t="s">
        <v>29</v>
      </c>
      <c r="M57" s="8" t="s">
        <v>30</v>
      </c>
      <c r="S57" s="8" t="e">
        <f>COUNTIF(#REF!,TRUE)</f>
        <v>#REF!</v>
      </c>
      <c r="T57" s="8" t="e">
        <f>S57/156*100</f>
        <v>#REF!</v>
      </c>
      <c r="AH57" s="8">
        <v>4.6314688442128547E-3</v>
      </c>
    </row>
    <row r="58" spans="2:34" ht="16.5" customHeight="1" x14ac:dyDescent="0.45">
      <c r="H58" s="7" t="s">
        <v>31</v>
      </c>
    </row>
    <row r="59" spans="2:34" ht="16.5" customHeight="1" x14ac:dyDescent="0.45">
      <c r="B59" s="7"/>
      <c r="I59" s="7"/>
      <c r="J59" s="7"/>
      <c r="K59" s="7"/>
      <c r="L59" s="7"/>
    </row>
    <row r="60" spans="2:34" ht="16.5" customHeight="1" x14ac:dyDescent="0.45"/>
    <row r="61" spans="2:34" ht="16.5" customHeight="1" x14ac:dyDescent="0.45"/>
    <row r="62" spans="2:34" ht="16.5" customHeight="1" x14ac:dyDescent="0.45"/>
    <row r="63" spans="2:34" ht="16.5" customHeight="1" x14ac:dyDescent="0.45"/>
    <row r="64" spans="2:34" ht="16.5" customHeight="1" x14ac:dyDescent="0.45"/>
    <row r="65" ht="16.5" customHeight="1" x14ac:dyDescent="0.45"/>
    <row r="66" ht="16.5" customHeight="1" x14ac:dyDescent="0.45"/>
    <row r="67" ht="16.5" customHeight="1" x14ac:dyDescent="0.45"/>
    <row r="68" ht="16.5" customHeight="1" x14ac:dyDescent="0.45"/>
    <row r="69" ht="16.5" customHeight="1" x14ac:dyDescent="0.45"/>
    <row r="70" ht="16.5" customHeight="1" x14ac:dyDescent="0.45"/>
    <row r="71" ht="16.5" customHeight="1" x14ac:dyDescent="0.45"/>
    <row r="72" ht="16.5" customHeight="1" x14ac:dyDescent="0.45"/>
    <row r="73" ht="16.5" customHeight="1" x14ac:dyDescent="0.45"/>
    <row r="74" ht="16.5" customHeight="1" x14ac:dyDescent="0.45"/>
    <row r="75" ht="16.5" customHeight="1" x14ac:dyDescent="0.45"/>
    <row r="76" ht="16.5" customHeight="1" x14ac:dyDescent="0.45"/>
    <row r="77" ht="16.5" customHeight="1" x14ac:dyDescent="0.45"/>
    <row r="78" ht="16.5" customHeight="1" x14ac:dyDescent="0.45"/>
    <row r="79" ht="16.5" customHeight="1" x14ac:dyDescent="0.45"/>
    <row r="80" ht="16.5" customHeight="1" x14ac:dyDescent="0.45"/>
    <row r="81" ht="16.5" customHeight="1" x14ac:dyDescent="0.45"/>
    <row r="82" ht="16.5" customHeight="1" x14ac:dyDescent="0.45"/>
    <row r="83" ht="16.5" customHeight="1" x14ac:dyDescent="0.45"/>
    <row r="84" ht="16.5" customHeight="1" x14ac:dyDescent="0.45"/>
    <row r="85" ht="16.5" customHeight="1" x14ac:dyDescent="0.45"/>
    <row r="86" ht="16.5" customHeight="1" x14ac:dyDescent="0.45"/>
    <row r="87" ht="16.5" customHeight="1" x14ac:dyDescent="0.45"/>
    <row r="88" ht="16.5" customHeight="1" x14ac:dyDescent="0.45"/>
    <row r="89" ht="16.5" customHeight="1" x14ac:dyDescent="0.45"/>
    <row r="90" ht="16.5" customHeight="1" x14ac:dyDescent="0.45"/>
    <row r="91" ht="16.5" customHeight="1" x14ac:dyDescent="0.45"/>
    <row r="92" ht="16.5" customHeight="1" x14ac:dyDescent="0.45"/>
    <row r="93" ht="16.5" customHeight="1" x14ac:dyDescent="0.45"/>
    <row r="94" ht="16.5" customHeight="1" x14ac:dyDescent="0.45"/>
    <row r="95" ht="16.5" customHeight="1" x14ac:dyDescent="0.45"/>
    <row r="96" ht="16.5" customHeight="1" x14ac:dyDescent="0.45"/>
    <row r="97" ht="16.5" customHeight="1" x14ac:dyDescent="0.45"/>
    <row r="98" ht="16.5" customHeight="1" x14ac:dyDescent="0.45"/>
    <row r="99" ht="16.5" customHeight="1" x14ac:dyDescent="0.45"/>
    <row r="100" ht="16.5" customHeight="1" x14ac:dyDescent="0.45"/>
    <row r="101" ht="16.5" customHeight="1" x14ac:dyDescent="0.45"/>
    <row r="102" ht="16.5" customHeight="1" x14ac:dyDescent="0.45"/>
    <row r="103" ht="16.5" customHeight="1" x14ac:dyDescent="0.45"/>
    <row r="104" ht="16.5" customHeight="1" x14ac:dyDescent="0.45"/>
    <row r="105" ht="16.5" customHeight="1" x14ac:dyDescent="0.45"/>
    <row r="106" ht="16.5" customHeight="1" x14ac:dyDescent="0.45"/>
    <row r="107" ht="16.5" customHeight="1" x14ac:dyDescent="0.45"/>
    <row r="108" ht="16.5" customHeight="1" x14ac:dyDescent="0.45"/>
    <row r="109" ht="16.5" customHeight="1" x14ac:dyDescent="0.45"/>
    <row r="110" ht="16.5" customHeight="1" x14ac:dyDescent="0.45"/>
    <row r="111" ht="16.5" customHeight="1" x14ac:dyDescent="0.45"/>
    <row r="112" ht="16.5" customHeight="1" x14ac:dyDescent="0.45"/>
    <row r="113" ht="16.5" customHeight="1" x14ac:dyDescent="0.45"/>
    <row r="114" ht="16.5" customHeight="1" x14ac:dyDescent="0.45"/>
    <row r="115" ht="16.5" customHeight="1" x14ac:dyDescent="0.45"/>
    <row r="116" ht="16.5" customHeight="1" x14ac:dyDescent="0.45"/>
    <row r="117" ht="16.5" customHeight="1" x14ac:dyDescent="0.45"/>
    <row r="118" ht="16.5" customHeight="1" x14ac:dyDescent="0.45"/>
    <row r="119" ht="16.5" customHeight="1" x14ac:dyDescent="0.45"/>
    <row r="120" ht="16.5" customHeight="1" x14ac:dyDescent="0.45"/>
    <row r="121" ht="16.5" customHeight="1" x14ac:dyDescent="0.45"/>
    <row r="122" ht="16.5" customHeight="1" x14ac:dyDescent="0.45"/>
    <row r="123" ht="16.5" customHeight="1" x14ac:dyDescent="0.45"/>
    <row r="124" ht="16.5" customHeight="1" x14ac:dyDescent="0.45"/>
    <row r="125" ht="16.5" customHeight="1" x14ac:dyDescent="0.45"/>
    <row r="126" ht="16.5" customHeight="1" x14ac:dyDescent="0.45"/>
    <row r="127" ht="16.5" customHeight="1" x14ac:dyDescent="0.45"/>
    <row r="128" ht="16.5" customHeight="1" x14ac:dyDescent="0.45"/>
    <row r="129" ht="16.5" customHeight="1" x14ac:dyDescent="0.45"/>
    <row r="130" ht="16.5" customHeight="1" x14ac:dyDescent="0.45"/>
    <row r="131" ht="16.5" customHeight="1" x14ac:dyDescent="0.45"/>
    <row r="132" ht="16.5" customHeight="1" x14ac:dyDescent="0.45"/>
    <row r="133" ht="16.5" customHeight="1" x14ac:dyDescent="0.45"/>
    <row r="134" ht="16.5" customHeight="1" x14ac:dyDescent="0.45"/>
    <row r="135" ht="16.5" customHeight="1" x14ac:dyDescent="0.45"/>
    <row r="136" ht="16.5" customHeight="1" x14ac:dyDescent="0.45"/>
    <row r="137" ht="16.5" customHeight="1" x14ac:dyDescent="0.45"/>
    <row r="138" ht="16.5" customHeight="1" x14ac:dyDescent="0.45"/>
    <row r="139" ht="16.5" customHeight="1" x14ac:dyDescent="0.45"/>
    <row r="140" ht="16.5" customHeight="1" x14ac:dyDescent="0.45"/>
    <row r="141" ht="16.5" customHeight="1" x14ac:dyDescent="0.45"/>
    <row r="142" ht="16.5" customHeight="1" x14ac:dyDescent="0.45"/>
    <row r="143" ht="16.5" customHeight="1" x14ac:dyDescent="0.45"/>
    <row r="144" ht="16.5" customHeight="1" x14ac:dyDescent="0.45"/>
    <row r="145" ht="16.5" customHeight="1" x14ac:dyDescent="0.45"/>
    <row r="146" ht="16.5" customHeight="1" x14ac:dyDescent="0.45"/>
    <row r="147" ht="16.5" customHeight="1" x14ac:dyDescent="0.45"/>
    <row r="148" ht="16.5" customHeight="1" x14ac:dyDescent="0.45"/>
    <row r="149" ht="16.5" customHeight="1" x14ac:dyDescent="0.45"/>
    <row r="150" ht="16.5" customHeight="1" x14ac:dyDescent="0.45"/>
    <row r="151" ht="16.5" customHeight="1" x14ac:dyDescent="0.45"/>
    <row r="152" ht="16.5" customHeight="1" x14ac:dyDescent="0.45"/>
    <row r="153" ht="16.5" customHeight="1" x14ac:dyDescent="0.45"/>
    <row r="154" ht="16.5" customHeight="1" x14ac:dyDescent="0.45"/>
    <row r="155" ht="16.5" customHeight="1" x14ac:dyDescent="0.45"/>
    <row r="156" ht="16.5" customHeight="1" x14ac:dyDescent="0.45"/>
    <row r="157" ht="16.5" customHeight="1" x14ac:dyDescent="0.45"/>
    <row r="158" ht="16.5" customHeight="1" x14ac:dyDescent="0.45"/>
    <row r="159" ht="16.5" customHeight="1" x14ac:dyDescent="0.45"/>
    <row r="160" ht="16.5" customHeight="1" x14ac:dyDescent="0.45"/>
    <row r="161" ht="16.5" customHeight="1" x14ac:dyDescent="0.45"/>
    <row r="162" ht="16.5" customHeight="1" x14ac:dyDescent="0.45"/>
    <row r="163" ht="16.5" customHeight="1" x14ac:dyDescent="0.45"/>
    <row r="164" ht="16.5" customHeight="1" x14ac:dyDescent="0.45"/>
    <row r="165" ht="16.5" customHeight="1" x14ac:dyDescent="0.45"/>
    <row r="166" ht="16.5" customHeight="1" x14ac:dyDescent="0.45"/>
    <row r="167" ht="16.5" customHeight="1" x14ac:dyDescent="0.45"/>
    <row r="168" ht="16.5" customHeight="1" x14ac:dyDescent="0.45"/>
    <row r="169" ht="16.5" customHeight="1" x14ac:dyDescent="0.45"/>
    <row r="170" ht="16.5" customHeight="1" x14ac:dyDescent="0.45"/>
    <row r="171" ht="16.5" customHeight="1" x14ac:dyDescent="0.45"/>
    <row r="172" ht="16.5" customHeight="1" x14ac:dyDescent="0.45"/>
    <row r="173" ht="16.5" customHeight="1" x14ac:dyDescent="0.45"/>
    <row r="174" ht="16.5" customHeight="1" x14ac:dyDescent="0.45"/>
    <row r="175" ht="16.5" customHeight="1" x14ac:dyDescent="0.45"/>
    <row r="176" ht="16.5" customHeight="1" x14ac:dyDescent="0.45"/>
    <row r="177" ht="16.5" customHeight="1" x14ac:dyDescent="0.45"/>
    <row r="178" ht="16.5" customHeight="1" x14ac:dyDescent="0.45"/>
    <row r="179" ht="16.5" customHeight="1" x14ac:dyDescent="0.45"/>
    <row r="180" ht="16.5" customHeight="1" x14ac:dyDescent="0.45"/>
    <row r="181" ht="16.5" customHeight="1" x14ac:dyDescent="0.45"/>
    <row r="182" ht="16.5" customHeight="1" x14ac:dyDescent="0.45"/>
    <row r="183" ht="16.5" customHeight="1" x14ac:dyDescent="0.45"/>
    <row r="184" ht="16.5" customHeight="1" x14ac:dyDescent="0.45"/>
    <row r="185" ht="16.5" customHeight="1" x14ac:dyDescent="0.45"/>
    <row r="186" ht="16.5" customHeight="1" x14ac:dyDescent="0.45"/>
    <row r="187" ht="16.5" customHeight="1" x14ac:dyDescent="0.45"/>
    <row r="188" ht="16.5" customHeight="1" x14ac:dyDescent="0.45"/>
    <row r="189" ht="16.5" customHeight="1" x14ac:dyDescent="0.45"/>
    <row r="190" ht="16.5" customHeight="1" x14ac:dyDescent="0.45"/>
    <row r="191" ht="16.5" customHeight="1" x14ac:dyDescent="0.45"/>
    <row r="192" ht="16.5" customHeight="1" x14ac:dyDescent="0.45"/>
    <row r="193" ht="16.5" customHeight="1" x14ac:dyDescent="0.45"/>
    <row r="194" ht="16.5" customHeight="1" x14ac:dyDescent="0.45"/>
    <row r="195" ht="16.5" customHeight="1" x14ac:dyDescent="0.45"/>
    <row r="196" ht="16.5" customHeight="1" x14ac:dyDescent="0.45"/>
    <row r="197" ht="16.5" customHeight="1" x14ac:dyDescent="0.45"/>
    <row r="198" ht="16.5" customHeight="1" x14ac:dyDescent="0.45"/>
    <row r="199" ht="16.5" customHeight="1" x14ac:dyDescent="0.45"/>
    <row r="200" ht="16.5" customHeight="1" x14ac:dyDescent="0.45"/>
    <row r="201" ht="16.5" customHeight="1" x14ac:dyDescent="0.45"/>
  </sheetData>
  <sheetProtection algorithmName="SHA-512" hashValue="gy8anZ9/pjeodL+w69oQTeCR8KO9eCPn0UusCHe+Hr5Du5Jp4UvZrxYAYqmTLAFmXbP9AmOr9N4wkZCjdPu6Dg==" saltValue="HwSTy1Yw42vEyopUELtbbA==" spinCount="100000" sheet="1" selectLockedCells="1"/>
  <mergeCells count="20">
    <mergeCell ref="O3:Q4"/>
    <mergeCell ref="C33:C34"/>
    <mergeCell ref="D33:I34"/>
    <mergeCell ref="C8:C9"/>
    <mergeCell ref="D8:D9"/>
    <mergeCell ref="E8:E9"/>
    <mergeCell ref="C10:C11"/>
    <mergeCell ref="D10:D11"/>
    <mergeCell ref="E10:E11"/>
    <mergeCell ref="C29:C30"/>
    <mergeCell ref="D29:I30"/>
    <mergeCell ref="M22:U29"/>
    <mergeCell ref="M8:U10"/>
    <mergeCell ref="C15:D16"/>
    <mergeCell ref="E15:F15"/>
    <mergeCell ref="M13:U20"/>
    <mergeCell ref="C17:D17"/>
    <mergeCell ref="C22:I27"/>
    <mergeCell ref="C31:C32"/>
    <mergeCell ref="D31:I32"/>
  </mergeCells>
  <phoneticPr fontId="2" type="noConversion"/>
  <pageMargins left="0.7" right="0.7" top="0.75" bottom="0.75" header="0.3" footer="0.3"/>
  <pageSetup paperSize="9" orientation="portrait" r:id="rId1"/>
  <ignoredErrors>
    <ignoredError sqref="I9:I10 H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1A6A2-91E4-4051-8DE9-0CB96ABF5C61}">
  <dimension ref="B22:T49"/>
  <sheetViews>
    <sheetView workbookViewId="0">
      <selection activeCell="O37" sqref="O37"/>
    </sheetView>
  </sheetViews>
  <sheetFormatPr defaultColWidth="9" defaultRowHeight="17" x14ac:dyDescent="0.45"/>
  <cols>
    <col min="1" max="16384" width="9" style="2"/>
  </cols>
  <sheetData>
    <row r="22" spans="2:20" ht="17.5" thickBot="1" x14ac:dyDescent="0.5">
      <c r="C22" s="5"/>
      <c r="D22" s="5"/>
      <c r="E22" s="5"/>
      <c r="F22" s="5"/>
      <c r="G22" s="5"/>
      <c r="H22" s="5"/>
      <c r="I22" s="5"/>
      <c r="J22" s="5"/>
    </row>
    <row r="23" spans="2:20" x14ac:dyDescent="0.45">
      <c r="B23" s="3"/>
      <c r="C23" s="90" t="s">
        <v>33</v>
      </c>
      <c r="D23" s="91"/>
      <c r="E23" s="91"/>
      <c r="F23" s="91"/>
      <c r="G23" s="91"/>
      <c r="H23" s="91"/>
      <c r="I23" s="91"/>
      <c r="J23" s="92"/>
      <c r="K23" s="4"/>
      <c r="L23" s="90" t="s">
        <v>32</v>
      </c>
      <c r="M23" s="91"/>
      <c r="N23" s="91"/>
      <c r="O23" s="91"/>
      <c r="P23" s="91"/>
      <c r="Q23" s="91"/>
      <c r="R23" s="91"/>
      <c r="S23" s="92"/>
    </row>
    <row r="24" spans="2:20" ht="17.5" thickBot="1" x14ac:dyDescent="0.5">
      <c r="B24" s="3"/>
      <c r="C24" s="93"/>
      <c r="D24" s="94"/>
      <c r="E24" s="94"/>
      <c r="F24" s="94"/>
      <c r="G24" s="94"/>
      <c r="H24" s="94"/>
      <c r="I24" s="94"/>
      <c r="J24" s="95"/>
      <c r="K24" s="4"/>
      <c r="L24" s="93"/>
      <c r="M24" s="94"/>
      <c r="N24" s="94"/>
      <c r="O24" s="94"/>
      <c r="P24" s="94"/>
      <c r="Q24" s="94"/>
      <c r="R24" s="94"/>
      <c r="S24" s="95"/>
    </row>
    <row r="25" spans="2:20" x14ac:dyDescent="0.45">
      <c r="C25" s="88" t="s">
        <v>41</v>
      </c>
      <c r="D25" s="80"/>
      <c r="E25" s="80"/>
      <c r="F25" s="80"/>
      <c r="G25" s="80"/>
      <c r="H25" s="80"/>
      <c r="I25" s="80"/>
      <c r="J25" s="81"/>
      <c r="K25" s="4"/>
      <c r="L25" s="88" t="s">
        <v>45</v>
      </c>
      <c r="M25" s="80"/>
      <c r="N25" s="80"/>
      <c r="O25" s="80"/>
      <c r="P25" s="80"/>
      <c r="Q25" s="80"/>
      <c r="R25" s="80"/>
      <c r="S25" s="81"/>
    </row>
    <row r="26" spans="2:20" ht="17.5" thickBot="1" x14ac:dyDescent="0.5">
      <c r="C26" s="85"/>
      <c r="D26" s="86"/>
      <c r="E26" s="86"/>
      <c r="F26" s="86"/>
      <c r="G26" s="86"/>
      <c r="H26" s="86"/>
      <c r="I26" s="86"/>
      <c r="J26" s="87"/>
      <c r="K26" s="4"/>
      <c r="L26" s="85"/>
      <c r="M26" s="86"/>
      <c r="N26" s="86"/>
      <c r="O26" s="86"/>
      <c r="P26" s="86"/>
      <c r="Q26" s="86"/>
      <c r="R26" s="86"/>
      <c r="S26" s="87"/>
    </row>
    <row r="27" spans="2:20" x14ac:dyDescent="0.45">
      <c r="C27" s="88" t="s">
        <v>39</v>
      </c>
      <c r="D27" s="80"/>
      <c r="E27" s="80"/>
      <c r="F27" s="80"/>
      <c r="G27" s="80"/>
      <c r="H27" s="80"/>
      <c r="I27" s="80"/>
      <c r="J27" s="81"/>
      <c r="L27" s="88" t="s">
        <v>46</v>
      </c>
      <c r="M27" s="80"/>
      <c r="N27" s="80"/>
      <c r="O27" s="80"/>
      <c r="P27" s="80"/>
      <c r="Q27" s="80"/>
      <c r="R27" s="80"/>
      <c r="S27" s="81"/>
    </row>
    <row r="28" spans="2:20" ht="17.5" thickBot="1" x14ac:dyDescent="0.5">
      <c r="C28" s="85"/>
      <c r="D28" s="86"/>
      <c r="E28" s="86"/>
      <c r="F28" s="86"/>
      <c r="G28" s="86"/>
      <c r="H28" s="86"/>
      <c r="I28" s="86"/>
      <c r="J28" s="87"/>
      <c r="L28" s="85"/>
      <c r="M28" s="86"/>
      <c r="N28" s="86"/>
      <c r="O28" s="86"/>
      <c r="P28" s="86"/>
      <c r="Q28" s="86"/>
      <c r="R28" s="86"/>
      <c r="S28" s="87"/>
    </row>
    <row r="29" spans="2:20" x14ac:dyDescent="0.45">
      <c r="C29" s="88" t="s">
        <v>40</v>
      </c>
      <c r="D29" s="80"/>
      <c r="E29" s="80"/>
      <c r="F29" s="80"/>
      <c r="G29" s="80"/>
      <c r="H29" s="80"/>
      <c r="I29" s="80"/>
      <c r="J29" s="81"/>
      <c r="L29" s="88" t="s">
        <v>47</v>
      </c>
      <c r="M29" s="80"/>
      <c r="N29" s="80"/>
      <c r="O29" s="80"/>
      <c r="P29" s="80"/>
      <c r="Q29" s="80"/>
      <c r="R29" s="80"/>
      <c r="S29" s="81"/>
    </row>
    <row r="30" spans="2:20" ht="17.5" thickBot="1" x14ac:dyDescent="0.5">
      <c r="C30" s="85"/>
      <c r="D30" s="86"/>
      <c r="E30" s="86"/>
      <c r="F30" s="86"/>
      <c r="G30" s="86"/>
      <c r="H30" s="86"/>
      <c r="I30" s="86"/>
      <c r="J30" s="87"/>
      <c r="L30" s="85"/>
      <c r="M30" s="86"/>
      <c r="N30" s="86"/>
      <c r="O30" s="86"/>
      <c r="P30" s="86"/>
      <c r="Q30" s="86"/>
      <c r="R30" s="86"/>
      <c r="S30" s="87"/>
    </row>
    <row r="31" spans="2:20" x14ac:dyDescent="0.45">
      <c r="C31" s="88" t="s">
        <v>42</v>
      </c>
      <c r="D31" s="80"/>
      <c r="E31" s="80"/>
      <c r="F31" s="80"/>
      <c r="G31" s="80"/>
      <c r="H31" s="80"/>
      <c r="I31" s="80"/>
      <c r="J31" s="81"/>
      <c r="K31" s="3"/>
      <c r="L31" s="71" t="s">
        <v>64</v>
      </c>
      <c r="M31" s="80"/>
      <c r="N31" s="80"/>
      <c r="O31" s="80"/>
      <c r="P31" s="80"/>
      <c r="Q31" s="80"/>
      <c r="R31" s="80"/>
      <c r="S31" s="81"/>
      <c r="T31" s="4"/>
    </row>
    <row r="32" spans="2:20" ht="17.5" thickBot="1" x14ac:dyDescent="0.5">
      <c r="C32" s="85"/>
      <c r="D32" s="86"/>
      <c r="E32" s="86"/>
      <c r="F32" s="86"/>
      <c r="G32" s="86"/>
      <c r="H32" s="86"/>
      <c r="I32" s="86"/>
      <c r="J32" s="87"/>
      <c r="K32" s="3"/>
      <c r="L32" s="82"/>
      <c r="M32" s="83"/>
      <c r="N32" s="83"/>
      <c r="O32" s="83"/>
      <c r="P32" s="83"/>
      <c r="Q32" s="83"/>
      <c r="R32" s="83"/>
      <c r="S32" s="84"/>
      <c r="T32" s="4"/>
    </row>
    <row r="33" spans="2:20" x14ac:dyDescent="0.45">
      <c r="C33" s="88" t="s">
        <v>43</v>
      </c>
      <c r="D33" s="80"/>
      <c r="E33" s="80"/>
      <c r="F33" s="80"/>
      <c r="G33" s="80"/>
      <c r="H33" s="80"/>
      <c r="I33" s="80"/>
      <c r="J33" s="81"/>
      <c r="K33" s="3"/>
      <c r="L33" s="82"/>
      <c r="M33" s="83"/>
      <c r="N33" s="83"/>
      <c r="O33" s="83"/>
      <c r="P33" s="83"/>
      <c r="Q33" s="83"/>
      <c r="R33" s="83"/>
      <c r="S33" s="84"/>
      <c r="T33" s="4"/>
    </row>
    <row r="34" spans="2:20" ht="17.5" thickBot="1" x14ac:dyDescent="0.5">
      <c r="C34" s="85"/>
      <c r="D34" s="86"/>
      <c r="E34" s="86"/>
      <c r="F34" s="86"/>
      <c r="G34" s="86"/>
      <c r="H34" s="86"/>
      <c r="I34" s="86"/>
      <c r="J34" s="87"/>
      <c r="K34" s="3"/>
      <c r="L34" s="85"/>
      <c r="M34" s="86"/>
      <c r="N34" s="86"/>
      <c r="O34" s="86"/>
      <c r="P34" s="86"/>
      <c r="Q34" s="86"/>
      <c r="R34" s="86"/>
      <c r="S34" s="87"/>
      <c r="T34" s="4"/>
    </row>
    <row r="35" spans="2:20" x14ac:dyDescent="0.45">
      <c r="C35" s="88" t="s">
        <v>44</v>
      </c>
      <c r="D35" s="80"/>
      <c r="E35" s="80"/>
      <c r="F35" s="80"/>
      <c r="G35" s="80"/>
      <c r="H35" s="80"/>
      <c r="I35" s="80"/>
      <c r="J35" s="81"/>
      <c r="L35" s="6"/>
      <c r="M35" s="6"/>
      <c r="N35" s="6"/>
      <c r="O35" s="6"/>
      <c r="P35" s="6"/>
      <c r="Q35" s="6"/>
      <c r="R35" s="6"/>
      <c r="S35" s="6"/>
    </row>
    <row r="36" spans="2:20" ht="17.5" thickBot="1" x14ac:dyDescent="0.5">
      <c r="C36" s="85"/>
      <c r="D36" s="86"/>
      <c r="E36" s="86"/>
      <c r="F36" s="86"/>
      <c r="G36" s="86"/>
      <c r="H36" s="86"/>
      <c r="I36" s="86"/>
      <c r="J36" s="87"/>
    </row>
    <row r="37" spans="2:20" ht="16.5" customHeight="1" x14ac:dyDescent="0.45">
      <c r="B37" s="3"/>
      <c r="C37" s="71" t="s">
        <v>67</v>
      </c>
      <c r="D37" s="72"/>
      <c r="E37" s="72"/>
      <c r="F37" s="72"/>
      <c r="G37" s="72"/>
      <c r="H37" s="72"/>
      <c r="I37" s="72"/>
      <c r="J37" s="73"/>
      <c r="K37" s="4"/>
    </row>
    <row r="38" spans="2:20" x14ac:dyDescent="0.45">
      <c r="B38" s="3"/>
      <c r="C38" s="74"/>
      <c r="D38" s="89"/>
      <c r="E38" s="89"/>
      <c r="F38" s="89"/>
      <c r="G38" s="89"/>
      <c r="H38" s="89"/>
      <c r="I38" s="89"/>
      <c r="J38" s="76"/>
      <c r="K38" s="4"/>
    </row>
    <row r="39" spans="2:20" x14ac:dyDescent="0.45">
      <c r="B39" s="3"/>
      <c r="C39" s="74"/>
      <c r="D39" s="89"/>
      <c r="E39" s="89"/>
      <c r="F39" s="89"/>
      <c r="G39" s="89"/>
      <c r="H39" s="89"/>
      <c r="I39" s="89"/>
      <c r="J39" s="76"/>
      <c r="K39" s="4"/>
    </row>
    <row r="40" spans="2:20" ht="17.5" thickBot="1" x14ac:dyDescent="0.5">
      <c r="B40" s="3"/>
      <c r="C40" s="77"/>
      <c r="D40" s="78"/>
      <c r="E40" s="78"/>
      <c r="F40" s="78"/>
      <c r="G40" s="78"/>
      <c r="H40" s="78"/>
      <c r="I40" s="78"/>
      <c r="J40" s="79"/>
      <c r="K40" s="4"/>
    </row>
    <row r="41" spans="2:20" ht="17" customHeight="1" x14ac:dyDescent="0.45">
      <c r="B41" s="3"/>
      <c r="C41" s="71" t="s">
        <v>65</v>
      </c>
      <c r="D41" s="72"/>
      <c r="E41" s="72"/>
      <c r="F41" s="72"/>
      <c r="G41" s="72"/>
      <c r="H41" s="72"/>
      <c r="I41" s="72"/>
      <c r="J41" s="73"/>
      <c r="K41" s="4"/>
    </row>
    <row r="42" spans="2:20" x14ac:dyDescent="0.45">
      <c r="B42" s="3"/>
      <c r="C42" s="74"/>
      <c r="D42" s="75"/>
      <c r="E42" s="75"/>
      <c r="F42" s="75"/>
      <c r="G42" s="75"/>
      <c r="H42" s="75"/>
      <c r="I42" s="75"/>
      <c r="J42" s="76"/>
      <c r="K42" s="4"/>
    </row>
    <row r="43" spans="2:20" x14ac:dyDescent="0.45">
      <c r="B43" s="3"/>
      <c r="C43" s="74"/>
      <c r="D43" s="75"/>
      <c r="E43" s="75"/>
      <c r="F43" s="75"/>
      <c r="G43" s="75"/>
      <c r="H43" s="75"/>
      <c r="I43" s="75"/>
      <c r="J43" s="76"/>
      <c r="K43" s="4"/>
    </row>
    <row r="44" spans="2:20" x14ac:dyDescent="0.45">
      <c r="B44" s="3"/>
      <c r="C44" s="74"/>
      <c r="D44" s="75"/>
      <c r="E44" s="75"/>
      <c r="F44" s="75"/>
      <c r="G44" s="75"/>
      <c r="H44" s="75"/>
      <c r="I44" s="75"/>
      <c r="J44" s="76"/>
      <c r="K44" s="4"/>
    </row>
    <row r="45" spans="2:20" ht="17.5" thickBot="1" x14ac:dyDescent="0.5">
      <c r="B45" s="3"/>
      <c r="C45" s="77"/>
      <c r="D45" s="78"/>
      <c r="E45" s="78"/>
      <c r="F45" s="78"/>
      <c r="G45" s="78"/>
      <c r="H45" s="78"/>
      <c r="I45" s="78"/>
      <c r="J45" s="79"/>
      <c r="K45" s="4"/>
    </row>
    <row r="46" spans="2:20" x14ac:dyDescent="0.45">
      <c r="C46" s="71" t="s">
        <v>66</v>
      </c>
      <c r="D46" s="72"/>
      <c r="E46" s="72"/>
      <c r="F46" s="72"/>
      <c r="G46" s="72"/>
      <c r="H46" s="72"/>
      <c r="I46" s="72"/>
      <c r="J46" s="73"/>
    </row>
    <row r="47" spans="2:20" x14ac:dyDescent="0.45">
      <c r="C47" s="74"/>
      <c r="D47" s="75"/>
      <c r="E47" s="75"/>
      <c r="F47" s="75"/>
      <c r="G47" s="75"/>
      <c r="H47" s="75"/>
      <c r="I47" s="75"/>
      <c r="J47" s="76"/>
    </row>
    <row r="48" spans="2:20" x14ac:dyDescent="0.45">
      <c r="C48" s="74"/>
      <c r="D48" s="75"/>
      <c r="E48" s="75"/>
      <c r="F48" s="75"/>
      <c r="G48" s="75"/>
      <c r="H48" s="75"/>
      <c r="I48" s="75"/>
      <c r="J48" s="76"/>
    </row>
    <row r="49" spans="3:10" ht="17" customHeight="1" thickBot="1" x14ac:dyDescent="0.5">
      <c r="C49" s="77"/>
      <c r="D49" s="78"/>
      <c r="E49" s="78"/>
      <c r="F49" s="78"/>
      <c r="G49" s="78"/>
      <c r="H49" s="78"/>
      <c r="I49" s="78"/>
      <c r="J49" s="79"/>
    </row>
  </sheetData>
  <sheetProtection algorithmName="SHA-512" hashValue="4hm/kZEYD0fTXsmv8rPjPircELQCMCLGggS7K+u2Imhp0JhROYazGeUrdUXJkVZdqJB8baq5jCOsrrd77I5I0g==" saltValue="wPK2GBV2hgnTkBv9cW4/7w==" spinCount="100000" sheet="1" objects="1" scenarios="1"/>
  <mergeCells count="15">
    <mergeCell ref="L23:S24"/>
    <mergeCell ref="L25:S26"/>
    <mergeCell ref="L27:S28"/>
    <mergeCell ref="L29:S30"/>
    <mergeCell ref="C23:J24"/>
    <mergeCell ref="C25:J26"/>
    <mergeCell ref="C27:J28"/>
    <mergeCell ref="C29:J30"/>
    <mergeCell ref="C46:J49"/>
    <mergeCell ref="L31:S34"/>
    <mergeCell ref="C41:J45"/>
    <mergeCell ref="C33:J34"/>
    <mergeCell ref="C35:J36"/>
    <mergeCell ref="C37:J40"/>
    <mergeCell ref="C31:J32"/>
  </mergeCells>
  <phoneticPr fontId="2" type="noConversion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A</vt:lpstr>
      <vt:lpstr>설명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김승규</cp:lastModifiedBy>
  <dcterms:created xsi:type="dcterms:W3CDTF">2021-01-12T01:00:45Z</dcterms:created>
  <dcterms:modified xsi:type="dcterms:W3CDTF">2023-01-06T09:25:19Z</dcterms:modified>
</cp:coreProperties>
</file>