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955" windowHeight="7995"/>
  </bookViews>
  <sheets>
    <sheet name="2차후추합" sheetId="6" r:id="rId1"/>
    <sheet name="총괄" sheetId="3" r:id="rId2"/>
    <sheet name="과거" sheetId="4" r:id="rId3"/>
    <sheet name="고대표본정리" sheetId="5" r:id="rId4"/>
    <sheet name="Sheet2" sheetId="2" r:id="rId5"/>
  </sheets>
  <calcPr calcId="124519"/>
</workbook>
</file>

<file path=xl/calcChain.xml><?xml version="1.0" encoding="utf-8"?>
<calcChain xmlns="http://schemas.openxmlformats.org/spreadsheetml/2006/main">
  <c r="X31" i="6"/>
  <c r="W31"/>
  <c r="T31"/>
  <c r="S31"/>
  <c r="C26"/>
  <c r="W26"/>
  <c r="AJ26"/>
  <c r="C24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W21"/>
  <c r="X21"/>
  <c r="Y21"/>
  <c r="Z21"/>
  <c r="AA21"/>
  <c r="AB21"/>
  <c r="AC21"/>
  <c r="AD21"/>
  <c r="AE21"/>
  <c r="AF21"/>
  <c r="AG21"/>
  <c r="AH21"/>
  <c r="AI21"/>
  <c r="AJ21"/>
  <c r="B2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W20"/>
  <c r="X20"/>
  <c r="Y20"/>
  <c r="Z20"/>
  <c r="AA20"/>
  <c r="AB20"/>
  <c r="AC20"/>
  <c r="AD20"/>
  <c r="AE20"/>
  <c r="AF20"/>
  <c r="AG20"/>
  <c r="AH20"/>
  <c r="AI20"/>
  <c r="AJ20"/>
  <c r="B20"/>
  <c r="B19"/>
  <c r="B18"/>
  <c r="C19"/>
  <c r="C18"/>
  <c r="AJ24"/>
  <c r="AJ19"/>
  <c r="D19"/>
  <c r="AJ18"/>
  <c r="D18"/>
  <c r="Y19" i="3"/>
  <c r="Y18"/>
  <c r="AO20"/>
  <c r="BE18"/>
  <c r="BE19"/>
  <c r="AR20"/>
  <c r="W6"/>
  <c r="W7"/>
  <c r="W8"/>
  <c r="W9"/>
  <c r="W10"/>
  <c r="W11"/>
  <c r="W12"/>
  <c r="W13"/>
  <c r="W14"/>
  <c r="W15"/>
  <c r="W16"/>
  <c r="W17"/>
  <c r="W18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5"/>
  <c r="U47"/>
  <c r="U19"/>
  <c r="B26" i="6" l="1"/>
  <c r="B24"/>
  <c r="U49" i="3"/>
  <c r="S26" l="1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25"/>
  <c r="S6"/>
  <c r="S7"/>
  <c r="S8"/>
  <c r="S9"/>
  <c r="S10"/>
  <c r="S11"/>
  <c r="S12"/>
  <c r="S13"/>
  <c r="S14"/>
  <c r="S15"/>
  <c r="S16"/>
  <c r="S17"/>
  <c r="S18"/>
  <c r="S5"/>
  <c r="R47"/>
  <c r="W47" s="1"/>
  <c r="R19"/>
  <c r="H76"/>
  <c r="C75"/>
  <c r="C74"/>
  <c r="C78"/>
  <c r="S47" l="1"/>
  <c r="R49"/>
  <c r="W49" s="1"/>
  <c r="W19"/>
  <c r="S19"/>
  <c r="D76"/>
  <c r="E76"/>
  <c r="F76"/>
  <c r="C76"/>
  <c r="O47"/>
  <c r="M47"/>
  <c r="J19"/>
  <c r="I19"/>
  <c r="K19"/>
  <c r="P67"/>
  <c r="N67"/>
  <c r="L67"/>
  <c r="O19"/>
  <c r="O49" s="1"/>
  <c r="M19"/>
  <c r="M49" s="1"/>
  <c r="P6"/>
  <c r="N6"/>
  <c r="P7"/>
  <c r="N7"/>
  <c r="P9"/>
  <c r="N9"/>
  <c r="P5"/>
  <c r="P19" s="1"/>
  <c r="N5"/>
  <c r="N36"/>
  <c r="N40"/>
  <c r="J47"/>
  <c r="I47"/>
  <c r="H47"/>
  <c r="H49" s="1"/>
  <c r="D78" s="1"/>
  <c r="K38"/>
  <c r="K47" s="1"/>
  <c r="P36"/>
  <c r="P42"/>
  <c r="P28"/>
  <c r="P33"/>
  <c r="P38"/>
  <c r="N38"/>
  <c r="N25"/>
  <c r="D66" i="4"/>
  <c r="E66"/>
  <c r="F66"/>
  <c r="G66"/>
  <c r="H66"/>
  <c r="I66"/>
  <c r="J66"/>
  <c r="C66"/>
  <c r="D64"/>
  <c r="C64"/>
  <c r="D45"/>
  <c r="C45"/>
  <c r="D17"/>
  <c r="C17"/>
  <c r="F64"/>
  <c r="G64"/>
  <c r="H64"/>
  <c r="I64"/>
  <c r="J64"/>
  <c r="E64"/>
  <c r="F17"/>
  <c r="G17"/>
  <c r="H17"/>
  <c r="I17"/>
  <c r="J17"/>
  <c r="E17"/>
  <c r="G45"/>
  <c r="I45"/>
  <c r="E45"/>
  <c r="J54"/>
  <c r="H54"/>
  <c r="F54"/>
  <c r="J53"/>
  <c r="H53"/>
  <c r="F53"/>
  <c r="J52"/>
  <c r="H52"/>
  <c r="F52"/>
  <c r="J51"/>
  <c r="H51"/>
  <c r="F51"/>
  <c r="F50"/>
  <c r="J41"/>
  <c r="H41"/>
  <c r="F41"/>
  <c r="J37"/>
  <c r="H35"/>
  <c r="F35"/>
  <c r="J32"/>
  <c r="F31"/>
  <c r="J27"/>
  <c r="J24"/>
  <c r="J45" s="1"/>
  <c r="H24"/>
  <c r="F24"/>
  <c r="H23"/>
  <c r="H45" s="1"/>
  <c r="F23"/>
  <c r="F45" s="1"/>
  <c r="N19" i="3" l="1"/>
  <c r="P47"/>
  <c r="P49" s="1"/>
  <c r="F78" s="1"/>
  <c r="N47"/>
  <c r="N49" l="1"/>
  <c r="E78" s="1"/>
</calcChain>
</file>

<file path=xl/sharedStrings.xml><?xml version="1.0" encoding="utf-8"?>
<sst xmlns="http://schemas.openxmlformats.org/spreadsheetml/2006/main" count="366" uniqueCount="234">
  <si>
    <t>자유</t>
  </si>
  <si>
    <t>자유</t>
    <phoneticPr fontId="2" type="noConversion"/>
  </si>
  <si>
    <t>경영</t>
  </si>
  <si>
    <t>경영</t>
    <phoneticPr fontId="2" type="noConversion"/>
  </si>
  <si>
    <t>국어</t>
  </si>
  <si>
    <t>국어</t>
    <phoneticPr fontId="2" type="noConversion"/>
  </si>
  <si>
    <t>사학</t>
    <phoneticPr fontId="2" type="noConversion"/>
  </si>
  <si>
    <t>철학</t>
  </si>
  <si>
    <t>철학</t>
    <phoneticPr fontId="2" type="noConversion"/>
  </si>
  <si>
    <t>문헌</t>
  </si>
  <si>
    <t>문헌</t>
    <phoneticPr fontId="2" type="noConversion"/>
  </si>
  <si>
    <t>심리</t>
  </si>
  <si>
    <t>심리</t>
    <phoneticPr fontId="2" type="noConversion"/>
  </si>
  <si>
    <t>중어</t>
  </si>
  <si>
    <t>중어</t>
    <phoneticPr fontId="2" type="noConversion"/>
  </si>
  <si>
    <t>영어</t>
  </si>
  <si>
    <t>영어</t>
    <phoneticPr fontId="2" type="noConversion"/>
  </si>
  <si>
    <t>독어</t>
  </si>
  <si>
    <t>독어</t>
    <phoneticPr fontId="2" type="noConversion"/>
  </si>
  <si>
    <t>불어</t>
  </si>
  <si>
    <t>불어</t>
    <phoneticPr fontId="2" type="noConversion"/>
  </si>
  <si>
    <t>노어</t>
  </si>
  <si>
    <t>노어</t>
    <phoneticPr fontId="2" type="noConversion"/>
  </si>
  <si>
    <t>정외</t>
    <phoneticPr fontId="2" type="noConversion"/>
  </si>
  <si>
    <t>행정</t>
  </si>
  <si>
    <t>행정</t>
    <phoneticPr fontId="2" type="noConversion"/>
  </si>
  <si>
    <t>사회복</t>
    <phoneticPr fontId="2" type="noConversion"/>
  </si>
  <si>
    <t>사회학</t>
    <phoneticPr fontId="2" type="noConversion"/>
  </si>
  <si>
    <t>문화</t>
  </si>
  <si>
    <t>문화</t>
    <phoneticPr fontId="2" type="noConversion"/>
  </si>
  <si>
    <t>언론</t>
  </si>
  <si>
    <t>언론</t>
    <phoneticPr fontId="2" type="noConversion"/>
  </si>
  <si>
    <t>경제</t>
  </si>
  <si>
    <t>경제</t>
    <phoneticPr fontId="2" type="noConversion"/>
  </si>
  <si>
    <t>응용</t>
    <phoneticPr fontId="2" type="noConversion"/>
  </si>
  <si>
    <t>교육</t>
  </si>
  <si>
    <t>교육</t>
    <phoneticPr fontId="2" type="noConversion"/>
  </si>
  <si>
    <t>언더</t>
    <phoneticPr fontId="2" type="noConversion"/>
  </si>
  <si>
    <t>정경</t>
    <phoneticPr fontId="2" type="noConversion"/>
  </si>
  <si>
    <t>국제어</t>
    <phoneticPr fontId="2" type="noConversion"/>
  </si>
  <si>
    <t>인문</t>
    <phoneticPr fontId="2" type="noConversion"/>
  </si>
  <si>
    <t>역사</t>
  </si>
  <si>
    <t>역사</t>
    <phoneticPr fontId="2" type="noConversion"/>
  </si>
  <si>
    <t>지리</t>
  </si>
  <si>
    <t>지리</t>
    <phoneticPr fontId="2" type="noConversion"/>
  </si>
  <si>
    <t>미디</t>
    <phoneticPr fontId="2" type="noConversion"/>
  </si>
  <si>
    <t>식자</t>
    <phoneticPr fontId="2" type="noConversion"/>
  </si>
  <si>
    <t>정원</t>
    <phoneticPr fontId="2" type="noConversion"/>
  </si>
  <si>
    <t>보건</t>
    <phoneticPr fontId="2" type="noConversion"/>
  </si>
  <si>
    <t>인문1</t>
    <phoneticPr fontId="2" type="noConversion"/>
  </si>
  <si>
    <t>인문2</t>
    <phoneticPr fontId="2" type="noConversion"/>
  </si>
  <si>
    <t>사과</t>
    <phoneticPr fontId="2" type="noConversion"/>
  </si>
  <si>
    <t>농경제</t>
  </si>
  <si>
    <t>농경제</t>
    <phoneticPr fontId="2" type="noConversion"/>
  </si>
  <si>
    <t>윤리</t>
  </si>
  <si>
    <t>윤리</t>
    <phoneticPr fontId="2" type="noConversion"/>
  </si>
  <si>
    <t>외국어</t>
  </si>
  <si>
    <t>외국어</t>
    <phoneticPr fontId="2" type="noConversion"/>
  </si>
  <si>
    <t>사교</t>
    <phoneticPr fontId="2" type="noConversion"/>
  </si>
  <si>
    <t>소아</t>
    <phoneticPr fontId="2" type="noConversion"/>
  </si>
  <si>
    <t>자전</t>
  </si>
  <si>
    <t>자전</t>
    <phoneticPr fontId="2" type="noConversion"/>
  </si>
  <si>
    <t>추합</t>
  </si>
  <si>
    <t>추합</t>
    <phoneticPr fontId="2" type="noConversion"/>
  </si>
  <si>
    <t>합 계</t>
    <phoneticPr fontId="2" type="noConversion"/>
  </si>
  <si>
    <t>합계</t>
  </si>
  <si>
    <t>합계</t>
    <phoneticPr fontId="2" type="noConversion"/>
  </si>
  <si>
    <t>1. 서울대학교</t>
    <phoneticPr fontId="2" type="noConversion"/>
  </si>
  <si>
    <t>2.연세대학교</t>
    <phoneticPr fontId="2" type="noConversion"/>
  </si>
  <si>
    <t>3. 고려대학교</t>
    <phoneticPr fontId="2" type="noConversion"/>
  </si>
  <si>
    <t>구  분</t>
  </si>
  <si>
    <t>구  분</t>
    <phoneticPr fontId="2" type="noConversion"/>
  </si>
  <si>
    <t>연.고대</t>
    <phoneticPr fontId="2" type="noConversion"/>
  </si>
  <si>
    <t xml:space="preserve">정원 </t>
  </si>
  <si>
    <t xml:space="preserve"> 서울대 </t>
  </si>
  <si>
    <t xml:space="preserve">최종 </t>
  </si>
  <si>
    <t>최종</t>
  </si>
  <si>
    <t>추 합 현 황</t>
  </si>
  <si>
    <t>정시</t>
  </si>
  <si>
    <t>변동율</t>
  </si>
  <si>
    <t xml:space="preserve"> 합격(현) </t>
  </si>
  <si>
    <t xml:space="preserve"> 추정 </t>
  </si>
  <si>
    <t>1차</t>
  </si>
  <si>
    <t>2차</t>
  </si>
  <si>
    <t>그후</t>
  </si>
  <si>
    <t>경영학과</t>
  </si>
  <si>
    <t>인문학부</t>
  </si>
  <si>
    <t xml:space="preserve">   </t>
  </si>
  <si>
    <t>국제어문</t>
  </si>
  <si>
    <t>식품자원</t>
  </si>
  <si>
    <t>정경대</t>
  </si>
  <si>
    <t xml:space="preserve">국제   </t>
  </si>
  <si>
    <t>국어국문</t>
  </si>
  <si>
    <t>영어영문</t>
  </si>
  <si>
    <t>미디어</t>
  </si>
  <si>
    <t>자유전공</t>
  </si>
  <si>
    <t>보건행정</t>
  </si>
  <si>
    <t>합  계</t>
  </si>
  <si>
    <t xml:space="preserve">사학 </t>
  </si>
  <si>
    <t>응통</t>
  </si>
  <si>
    <t>신학</t>
  </si>
  <si>
    <t>사회복지</t>
  </si>
  <si>
    <t>총계</t>
  </si>
  <si>
    <t>현황파악</t>
  </si>
  <si>
    <t xml:space="preserve"> </t>
  </si>
  <si>
    <t>11, 12년 지원인원</t>
  </si>
  <si>
    <t xml:space="preserve"> 응답자 </t>
  </si>
  <si>
    <t xml:space="preserve"> 미응답 </t>
  </si>
  <si>
    <t xml:space="preserve"> 잔여율 </t>
  </si>
  <si>
    <t>차이</t>
  </si>
  <si>
    <t>인문 1</t>
  </si>
  <si>
    <t>인문 2</t>
  </si>
  <si>
    <t>사과대</t>
  </si>
  <si>
    <t>인류지리</t>
  </si>
  <si>
    <t>사회</t>
  </si>
  <si>
    <t>소비자</t>
  </si>
  <si>
    <t xml:space="preserve"> </t>
    <phoneticPr fontId="2" type="noConversion"/>
  </si>
  <si>
    <t>1. 고려대학교 (2011/2012) 추합현황</t>
    <phoneticPr fontId="2" type="noConversion"/>
  </si>
  <si>
    <t xml:space="preserve"> </t>
    <phoneticPr fontId="2" type="noConversion"/>
  </si>
  <si>
    <t>2. 연세대학교 (2011/2012) 추합현황</t>
    <phoneticPr fontId="2" type="noConversion"/>
  </si>
  <si>
    <t>3. 서울대학교 현황파악</t>
    <phoneticPr fontId="2" type="noConversion"/>
  </si>
  <si>
    <t>연고대 추합 합</t>
    <phoneticPr fontId="2" type="noConversion"/>
  </si>
  <si>
    <t>서울대</t>
    <phoneticPr fontId="2" type="noConversion"/>
  </si>
  <si>
    <t>연경추합</t>
    <phoneticPr fontId="2" type="noConversion"/>
  </si>
  <si>
    <t>고경추합</t>
    <phoneticPr fontId="2" type="noConversion"/>
  </si>
  <si>
    <t xml:space="preserve">4. 서울대 정시 인원대비 연.고경 추합 </t>
    <phoneticPr fontId="2" type="noConversion"/>
  </si>
  <si>
    <t>연.고경 합</t>
    <phoneticPr fontId="2" type="noConversion"/>
  </si>
  <si>
    <t xml:space="preserve">연.고전체 </t>
    <phoneticPr fontId="2" type="noConversion"/>
  </si>
  <si>
    <t>2012추정</t>
    <phoneticPr fontId="2" type="noConversion"/>
  </si>
  <si>
    <t>1차</t>
    <phoneticPr fontId="2" type="noConversion"/>
  </si>
  <si>
    <t>사회학</t>
    <phoneticPr fontId="2" type="noConversion"/>
  </si>
  <si>
    <t xml:space="preserve"> </t>
    <phoneticPr fontId="2" type="noConversion"/>
  </si>
  <si>
    <t>추가</t>
    <phoneticPr fontId="2" type="noConversion"/>
  </si>
  <si>
    <t>합</t>
    <phoneticPr fontId="2" type="noConversion"/>
  </si>
  <si>
    <t>연경</t>
    <phoneticPr fontId="2" type="noConversion"/>
  </si>
  <si>
    <t>대기1</t>
    <phoneticPr fontId="2" type="noConversion"/>
  </si>
  <si>
    <t>대기36</t>
    <phoneticPr fontId="2" type="noConversion"/>
  </si>
  <si>
    <t>고경</t>
    <phoneticPr fontId="2" type="noConversion"/>
  </si>
  <si>
    <t>대기22</t>
    <phoneticPr fontId="2" type="noConversion"/>
  </si>
  <si>
    <t>대기46</t>
    <phoneticPr fontId="2" type="noConversion"/>
  </si>
  <si>
    <t>대기28</t>
    <phoneticPr fontId="2" type="noConversion"/>
  </si>
  <si>
    <t>대기50</t>
    <phoneticPr fontId="2" type="noConversion"/>
  </si>
  <si>
    <t>고정경</t>
    <phoneticPr fontId="2" type="noConversion"/>
  </si>
  <si>
    <t>대기24</t>
    <phoneticPr fontId="2" type="noConversion"/>
  </si>
  <si>
    <t>대기13</t>
    <phoneticPr fontId="2" type="noConversion"/>
  </si>
  <si>
    <t>고자전</t>
    <phoneticPr fontId="2" type="noConversion"/>
  </si>
  <si>
    <t>고식자</t>
    <phoneticPr fontId="2" type="noConversion"/>
  </si>
  <si>
    <t>대기2</t>
    <phoneticPr fontId="2" type="noConversion"/>
  </si>
  <si>
    <t>고인문</t>
    <phoneticPr fontId="2" type="noConversion"/>
  </si>
  <si>
    <t>대기53</t>
    <phoneticPr fontId="2" type="noConversion"/>
  </si>
  <si>
    <t>고미디</t>
    <phoneticPr fontId="2" type="noConversion"/>
  </si>
  <si>
    <t>초합</t>
    <phoneticPr fontId="2" type="noConversion"/>
  </si>
  <si>
    <t>대기3</t>
    <phoneticPr fontId="2" type="noConversion"/>
  </si>
  <si>
    <t>고국제어</t>
    <phoneticPr fontId="2" type="noConversion"/>
  </si>
  <si>
    <t>우합</t>
    <phoneticPr fontId="2" type="noConversion"/>
  </si>
  <si>
    <t>대기6</t>
    <phoneticPr fontId="2" type="noConversion"/>
  </si>
  <si>
    <t>대기15</t>
    <phoneticPr fontId="2" type="noConversion"/>
  </si>
  <si>
    <t>초합</t>
    <phoneticPr fontId="2" type="noConversion"/>
  </si>
  <si>
    <t>교육</t>
    <phoneticPr fontId="2" type="noConversion"/>
  </si>
  <si>
    <t>국어</t>
    <phoneticPr fontId="2" type="noConversion"/>
  </si>
  <si>
    <t>영어</t>
    <phoneticPr fontId="2" type="noConversion"/>
  </si>
  <si>
    <t>지리</t>
    <phoneticPr fontId="2" type="noConversion"/>
  </si>
  <si>
    <t>역사</t>
    <phoneticPr fontId="2" type="noConversion"/>
  </si>
  <si>
    <t>국제</t>
    <phoneticPr fontId="2" type="noConversion"/>
  </si>
  <si>
    <t>고합계</t>
    <phoneticPr fontId="2" type="noConversion"/>
  </si>
  <si>
    <t>연경제</t>
    <phoneticPr fontId="2" type="noConversion"/>
  </si>
  <si>
    <t>대기5</t>
    <phoneticPr fontId="2" type="noConversion"/>
  </si>
  <si>
    <t>대기27</t>
    <phoneticPr fontId="2" type="noConversion"/>
  </si>
  <si>
    <t>대기20 ?</t>
    <phoneticPr fontId="2" type="noConversion"/>
  </si>
  <si>
    <t>연정외</t>
    <phoneticPr fontId="2" type="noConversion"/>
  </si>
  <si>
    <t>대기18</t>
    <phoneticPr fontId="2" type="noConversion"/>
  </si>
  <si>
    <t>연자전</t>
    <phoneticPr fontId="2" type="noConversion"/>
  </si>
  <si>
    <t>대기16</t>
    <phoneticPr fontId="2" type="noConversion"/>
  </si>
  <si>
    <t>연심리</t>
    <phoneticPr fontId="2" type="noConversion"/>
  </si>
  <si>
    <t>연행정</t>
    <phoneticPr fontId="2" type="noConversion"/>
  </si>
  <si>
    <t>연응통</t>
    <phoneticPr fontId="2" type="noConversion"/>
  </si>
  <si>
    <t>연사회</t>
    <phoneticPr fontId="2" type="noConversion"/>
  </si>
  <si>
    <t>연언론</t>
    <phoneticPr fontId="2" type="noConversion"/>
  </si>
  <si>
    <t>대기3</t>
    <phoneticPr fontId="2" type="noConversion"/>
  </si>
  <si>
    <t>연대식</t>
    <phoneticPr fontId="2" type="noConversion"/>
  </si>
  <si>
    <t>고대식</t>
    <phoneticPr fontId="2" type="noConversion"/>
  </si>
  <si>
    <t>연사복</t>
    <phoneticPr fontId="2" type="noConversion"/>
  </si>
  <si>
    <t>연문화</t>
    <phoneticPr fontId="2" type="noConversion"/>
  </si>
  <si>
    <t>연교육</t>
    <phoneticPr fontId="2" type="noConversion"/>
  </si>
  <si>
    <t>연신학</t>
    <phoneticPr fontId="2" type="noConversion"/>
  </si>
  <si>
    <t>연영어</t>
    <phoneticPr fontId="2" type="noConversion"/>
  </si>
  <si>
    <t>사학</t>
    <phoneticPr fontId="2" type="noConversion"/>
  </si>
  <si>
    <t>기타</t>
    <phoneticPr fontId="2" type="noConversion"/>
  </si>
  <si>
    <t>기타</t>
    <phoneticPr fontId="2" type="noConversion"/>
  </si>
  <si>
    <t>사학</t>
    <phoneticPr fontId="2" type="noConversion"/>
  </si>
  <si>
    <t>국어</t>
    <phoneticPr fontId="2" type="noConversion"/>
  </si>
  <si>
    <t>연영어</t>
    <phoneticPr fontId="2" type="noConversion"/>
  </si>
  <si>
    <t>연신학</t>
    <phoneticPr fontId="2" type="noConversion"/>
  </si>
  <si>
    <t>연심리</t>
    <phoneticPr fontId="2" type="noConversion"/>
  </si>
  <si>
    <t>연교육</t>
    <phoneticPr fontId="2" type="noConversion"/>
  </si>
  <si>
    <t>연언론</t>
    <phoneticPr fontId="2" type="noConversion"/>
  </si>
  <si>
    <t>연문화</t>
    <phoneticPr fontId="2" type="noConversion"/>
  </si>
  <si>
    <t>연사복</t>
    <phoneticPr fontId="2" type="noConversion"/>
  </si>
  <si>
    <t>연사회</t>
    <phoneticPr fontId="2" type="noConversion"/>
  </si>
  <si>
    <t>연행정</t>
    <phoneticPr fontId="2" type="noConversion"/>
  </si>
  <si>
    <t>연정외</t>
    <phoneticPr fontId="2" type="noConversion"/>
  </si>
  <si>
    <t>연자전</t>
    <phoneticPr fontId="2" type="noConversion"/>
  </si>
  <si>
    <t>연응통</t>
    <phoneticPr fontId="2" type="noConversion"/>
  </si>
  <si>
    <t>연경제</t>
    <phoneticPr fontId="2" type="noConversion"/>
  </si>
  <si>
    <t>연경</t>
    <phoneticPr fontId="2" type="noConversion"/>
  </si>
  <si>
    <t>고경</t>
    <phoneticPr fontId="2" type="noConversion"/>
  </si>
  <si>
    <t>고정경</t>
    <phoneticPr fontId="2" type="noConversion"/>
  </si>
  <si>
    <t>고자전</t>
    <phoneticPr fontId="2" type="noConversion"/>
  </si>
  <si>
    <t>고식자</t>
    <phoneticPr fontId="2" type="noConversion"/>
  </si>
  <si>
    <t>고인문</t>
    <phoneticPr fontId="2" type="noConversion"/>
  </si>
  <si>
    <t>고미디</t>
    <phoneticPr fontId="2" type="noConversion"/>
  </si>
  <si>
    <t>고국제어</t>
    <phoneticPr fontId="2" type="noConversion"/>
  </si>
  <si>
    <t>교육</t>
    <phoneticPr fontId="2" type="noConversion"/>
  </si>
  <si>
    <t>국제</t>
    <phoneticPr fontId="2" type="noConversion"/>
  </si>
  <si>
    <t>영어</t>
    <phoneticPr fontId="2" type="noConversion"/>
  </si>
  <si>
    <t>지리</t>
    <phoneticPr fontId="2" type="noConversion"/>
  </si>
  <si>
    <t>역사</t>
    <phoneticPr fontId="2" type="noConversion"/>
  </si>
  <si>
    <t>고합계</t>
    <phoneticPr fontId="2" type="noConversion"/>
  </si>
  <si>
    <t>연대식</t>
    <phoneticPr fontId="2" type="noConversion"/>
  </si>
  <si>
    <t>고대식</t>
    <phoneticPr fontId="2" type="noConversion"/>
  </si>
  <si>
    <t>연대합</t>
    <phoneticPr fontId="2" type="noConversion"/>
  </si>
  <si>
    <t>서울대가능선?</t>
    <phoneticPr fontId="2" type="noConversion"/>
  </si>
  <si>
    <t>연+고대</t>
    <phoneticPr fontId="2" type="noConversion"/>
  </si>
  <si>
    <t>정시정원</t>
    <phoneticPr fontId="2" type="noConversion"/>
  </si>
  <si>
    <t>1차 추합</t>
    <phoneticPr fontId="2" type="noConversion"/>
  </si>
  <si>
    <t>1차 추합율</t>
    <phoneticPr fontId="2" type="noConversion"/>
  </si>
  <si>
    <t>잔류인원</t>
    <phoneticPr fontId="2" type="noConversion"/>
  </si>
  <si>
    <t>대기인원으로</t>
    <phoneticPr fontId="2" type="noConversion"/>
  </si>
  <si>
    <t>추합발생</t>
    <phoneticPr fontId="2" type="noConversion"/>
  </si>
  <si>
    <t>서울대추합</t>
    <phoneticPr fontId="2" type="noConversion"/>
  </si>
  <si>
    <t>으로 추합</t>
    <phoneticPr fontId="2" type="noConversion"/>
  </si>
  <si>
    <t>*  역대 서울대 문과추합인원 :  경.사.자.인문1,2  약 15명,    기타 역사.사범등 7명   도합 22명 ?</t>
    <phoneticPr fontId="2" type="noConversion"/>
  </si>
  <si>
    <r>
      <t xml:space="preserve">* 서울대 추합 1명당   연.고대 추합숫자는 이론상 2명…  (예제 1,    연.고대 →   서울대 종료.    연.고대 추합1명,      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 예제 2   연.고대 → 서울대 → 경찰대.치대.한의대등   "2명"의 연.고대 추합발생)</t>
    </r>
    <phoneticPr fontId="2" type="noConversion"/>
  </si>
  <si>
    <t>보수적으로 30명 가정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</si>
</sst>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0_ 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3333CC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3333CC"/>
      <name val="맑은 고딕"/>
      <family val="3"/>
      <charset val="129"/>
    </font>
    <font>
      <b/>
      <sz val="11"/>
      <color rgb="FF3333CC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444444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vertical="center" wrapText="1"/>
    </xf>
    <xf numFmtId="9" fontId="8" fillId="6" borderId="16" xfId="0" applyNumberFormat="1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vertical="center" wrapText="1"/>
    </xf>
    <xf numFmtId="0" fontId="11" fillId="6" borderId="20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9" fontId="1" fillId="0" borderId="17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vertical="center" wrapText="1"/>
    </xf>
    <xf numFmtId="9" fontId="1" fillId="7" borderId="17" xfId="0" applyNumberFormat="1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18" xfId="0" applyFont="1" applyFill="1" applyBorder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vertical="center" wrapText="1"/>
    </xf>
    <xf numFmtId="0" fontId="3" fillId="7" borderId="18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12" fillId="7" borderId="21" xfId="0" applyFont="1" applyFill="1" applyBorder="1" applyAlignment="1">
      <alignment vertical="center" wrapText="1"/>
    </xf>
    <xf numFmtId="9" fontId="8" fillId="7" borderId="17" xfId="0" applyNumberFormat="1" applyFont="1" applyFill="1" applyBorder="1" applyAlignment="1">
      <alignment vertical="center" wrapText="1"/>
    </xf>
    <xf numFmtId="0" fontId="8" fillId="7" borderId="17" xfId="0" applyFont="1" applyFill="1" applyBorder="1" applyAlignment="1">
      <alignment vertical="center" wrapText="1"/>
    </xf>
    <xf numFmtId="0" fontId="8" fillId="7" borderId="18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9" fontId="8" fillId="0" borderId="17" xfId="0" applyNumberFormat="1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9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9" fontId="1" fillId="7" borderId="16" xfId="0" applyNumberFormat="1" applyFont="1" applyFill="1" applyBorder="1" applyAlignment="1">
      <alignment vertical="center" wrapText="1"/>
    </xf>
    <xf numFmtId="0" fontId="1" fillId="7" borderId="19" xfId="0" applyFont="1" applyFill="1" applyBorder="1" applyAlignment="1">
      <alignment vertical="center" wrapText="1"/>
    </xf>
    <xf numFmtId="0" fontId="3" fillId="7" borderId="25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15" fillId="6" borderId="24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9" fontId="10" fillId="6" borderId="17" xfId="0" applyNumberFormat="1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16" fillId="6" borderId="25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9" fontId="3" fillId="2" borderId="32" xfId="0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9" fontId="14" fillId="2" borderId="18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9" fontId="4" fillId="6" borderId="32" xfId="0" applyNumberFormat="1" applyFont="1" applyFill="1" applyBorder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9" fontId="16" fillId="6" borderId="18" xfId="0" applyNumberFormat="1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9" fontId="3" fillId="0" borderId="32" xfId="0" applyNumberFormat="1" applyFont="1" applyBorder="1" applyAlignment="1">
      <alignment vertical="center" wrapText="1"/>
    </xf>
    <xf numFmtId="0" fontId="14" fillId="7" borderId="21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9" fontId="14" fillId="7" borderId="18" xfId="0" applyNumberFormat="1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9" fontId="4" fillId="6" borderId="33" xfId="0" applyNumberFormat="1" applyFont="1" applyFill="1" applyBorder="1" applyAlignment="1">
      <alignment vertical="center" wrapText="1"/>
    </xf>
    <xf numFmtId="0" fontId="16" fillId="6" borderId="23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vertical="center" wrapText="1"/>
    </xf>
    <xf numFmtId="9" fontId="16" fillId="6" borderId="9" xfId="0" applyNumberFormat="1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9" fontId="3" fillId="0" borderId="33" xfId="0" applyNumberFormat="1" applyFont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9" fontId="14" fillId="7" borderId="9" xfId="0" applyNumberFormat="1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18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>
      <alignment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2" borderId="58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20" xfId="0" applyBorder="1">
      <alignment vertical="center"/>
    </xf>
    <xf numFmtId="0" fontId="0" fillId="0" borderId="66" xfId="0" applyBorder="1">
      <alignment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0" fillId="0" borderId="0" xfId="0" applyBorder="1">
      <alignment vertical="center"/>
    </xf>
    <xf numFmtId="0" fontId="0" fillId="0" borderId="49" xfId="0" applyBorder="1">
      <alignment vertical="center"/>
    </xf>
    <xf numFmtId="0" fontId="0" fillId="3" borderId="49" xfId="0" applyFill="1" applyBorder="1">
      <alignment vertical="center"/>
    </xf>
    <xf numFmtId="0" fontId="0" fillId="2" borderId="49" xfId="0" applyFill="1" applyBorder="1">
      <alignment vertical="center"/>
    </xf>
    <xf numFmtId="0" fontId="0" fillId="5" borderId="49" xfId="0" applyFill="1" applyBorder="1">
      <alignment vertical="center"/>
    </xf>
    <xf numFmtId="0" fontId="0" fillId="4" borderId="49" xfId="0" applyFill="1" applyBorder="1">
      <alignment vertical="center"/>
    </xf>
    <xf numFmtId="0" fontId="4" fillId="0" borderId="46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0" fillId="2" borderId="67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68" xfId="0" applyFill="1" applyBorder="1">
      <alignment vertical="center"/>
    </xf>
    <xf numFmtId="0" fontId="19" fillId="3" borderId="69" xfId="0" applyFont="1" applyFill="1" applyBorder="1">
      <alignment vertical="center"/>
    </xf>
    <xf numFmtId="0" fontId="19" fillId="3" borderId="70" xfId="0" applyFont="1" applyFill="1" applyBorder="1">
      <alignment vertical="center"/>
    </xf>
    <xf numFmtId="0" fontId="19" fillId="3" borderId="71" xfId="0" applyFont="1" applyFill="1" applyBorder="1">
      <alignment vertical="center"/>
    </xf>
    <xf numFmtId="0" fontId="19" fillId="3" borderId="34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0" fillId="2" borderId="34" xfId="0" applyFill="1" applyBorder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0" fontId="0" fillId="0" borderId="0" xfId="1" applyNumberFormat="1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>
      <alignment vertical="center"/>
    </xf>
    <xf numFmtId="177" fontId="24" fillId="0" borderId="0" xfId="0" applyNumberFormat="1" applyFont="1">
      <alignment vertical="center"/>
    </xf>
    <xf numFmtId="177" fontId="25" fillId="0" borderId="0" xfId="0" applyNumberFormat="1" applyFont="1" applyBorder="1">
      <alignment vertical="center"/>
    </xf>
    <xf numFmtId="177" fontId="25" fillId="0" borderId="0" xfId="0" applyNumberFormat="1" applyFont="1" applyBorder="1" applyAlignment="1">
      <alignment vertical="center"/>
    </xf>
    <xf numFmtId="177" fontId="24" fillId="2" borderId="0" xfId="0" applyNumberFormat="1" applyFont="1" applyFill="1">
      <alignment vertical="center"/>
    </xf>
    <xf numFmtId="0" fontId="18" fillId="0" borderId="0" xfId="0" applyFont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177" fontId="18" fillId="0" borderId="64" xfId="0" applyNumberFormat="1" applyFont="1" applyBorder="1">
      <alignment vertical="center"/>
    </xf>
    <xf numFmtId="177" fontId="18" fillId="0" borderId="65" xfId="0" applyNumberFormat="1" applyFont="1" applyBorder="1">
      <alignment vertical="center"/>
    </xf>
    <xf numFmtId="177" fontId="18" fillId="2" borderId="64" xfId="0" applyNumberFormat="1" applyFont="1" applyFill="1" applyBorder="1">
      <alignment vertical="center"/>
    </xf>
    <xf numFmtId="177" fontId="18" fillId="2" borderId="65" xfId="0" applyNumberFormat="1" applyFont="1" applyFill="1" applyBorder="1">
      <alignment vertical="center"/>
    </xf>
    <xf numFmtId="177" fontId="27" fillId="0" borderId="64" xfId="0" applyNumberFormat="1" applyFont="1" applyBorder="1">
      <alignment vertical="center"/>
    </xf>
    <xf numFmtId="177" fontId="27" fillId="0" borderId="65" xfId="0" applyNumberFormat="1" applyFont="1" applyBorder="1">
      <alignment vertical="center"/>
    </xf>
    <xf numFmtId="177" fontId="27" fillId="0" borderId="64" xfId="0" applyNumberFormat="1" applyFont="1" applyBorder="1" applyAlignment="1">
      <alignment vertical="center"/>
    </xf>
    <xf numFmtId="177" fontId="27" fillId="0" borderId="65" xfId="0" applyNumberFormat="1" applyFont="1" applyBorder="1" applyAlignment="1">
      <alignment vertical="center"/>
    </xf>
    <xf numFmtId="0" fontId="26" fillId="0" borderId="64" xfId="0" applyFont="1" applyBorder="1">
      <alignment vertical="center"/>
    </xf>
    <xf numFmtId="0" fontId="26" fillId="0" borderId="65" xfId="0" applyFont="1" applyBorder="1">
      <alignment vertical="center"/>
    </xf>
    <xf numFmtId="0" fontId="26" fillId="0" borderId="58" xfId="0" applyFont="1" applyBorder="1">
      <alignment vertical="center"/>
    </xf>
    <xf numFmtId="0" fontId="26" fillId="0" borderId="60" xfId="0" applyFont="1" applyBorder="1">
      <alignment vertical="center"/>
    </xf>
    <xf numFmtId="0" fontId="18" fillId="0" borderId="55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177" fontId="27" fillId="0" borderId="73" xfId="0" applyNumberFormat="1" applyFont="1" applyBorder="1">
      <alignment vertical="center"/>
    </xf>
    <xf numFmtId="177" fontId="27" fillId="0" borderId="74" xfId="0" applyNumberFormat="1" applyFont="1" applyBorder="1">
      <alignment vertical="center"/>
    </xf>
    <xf numFmtId="0" fontId="26" fillId="0" borderId="20" xfId="0" applyFont="1" applyBorder="1">
      <alignment vertical="center"/>
    </xf>
    <xf numFmtId="0" fontId="26" fillId="0" borderId="66" xfId="0" applyFont="1" applyBorder="1">
      <alignment vertical="center"/>
    </xf>
    <xf numFmtId="0" fontId="0" fillId="0" borderId="75" xfId="0" applyBorder="1">
      <alignment vertical="center"/>
    </xf>
    <xf numFmtId="0" fontId="26" fillId="0" borderId="55" xfId="0" applyFont="1" applyBorder="1">
      <alignment vertical="center"/>
    </xf>
    <xf numFmtId="0" fontId="26" fillId="0" borderId="57" xfId="0" applyFont="1" applyBorder="1">
      <alignment vertical="center"/>
    </xf>
    <xf numFmtId="0" fontId="0" fillId="0" borderId="76" xfId="0" applyBorder="1">
      <alignment vertical="center"/>
    </xf>
    <xf numFmtId="176" fontId="0" fillId="0" borderId="76" xfId="1" applyNumberFormat="1" applyFont="1" applyBorder="1">
      <alignment vertical="center"/>
    </xf>
    <xf numFmtId="176" fontId="20" fillId="0" borderId="76" xfId="1" applyNumberFormat="1" applyFont="1" applyBorder="1">
      <alignment vertical="center"/>
    </xf>
    <xf numFmtId="0" fontId="0" fillId="0" borderId="77" xfId="0" applyBorder="1">
      <alignment vertical="center"/>
    </xf>
    <xf numFmtId="177" fontId="18" fillId="4" borderId="64" xfId="0" applyNumberFormat="1" applyFont="1" applyFill="1" applyBorder="1">
      <alignment vertical="center"/>
    </xf>
    <xf numFmtId="177" fontId="18" fillId="4" borderId="65" xfId="0" applyNumberFormat="1" applyFont="1" applyFill="1" applyBorder="1">
      <alignment vertical="center"/>
    </xf>
    <xf numFmtId="0" fontId="20" fillId="0" borderId="76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2" borderId="0" xfId="0" applyFont="1" applyFill="1">
      <alignment vertical="center"/>
    </xf>
    <xf numFmtId="0" fontId="28" fillId="4" borderId="0" xfId="0" applyFont="1" applyFill="1">
      <alignment vertical="center"/>
    </xf>
    <xf numFmtId="0" fontId="28" fillId="0" borderId="75" xfId="0" applyFont="1" applyBorder="1">
      <alignment vertical="center"/>
    </xf>
    <xf numFmtId="0" fontId="28" fillId="0" borderId="76" xfId="0" applyFont="1" applyBorder="1">
      <alignment vertical="center"/>
    </xf>
    <xf numFmtId="176" fontId="28" fillId="0" borderId="76" xfId="1" applyNumberFormat="1" applyFont="1" applyBorder="1">
      <alignment vertical="center"/>
    </xf>
    <xf numFmtId="0" fontId="28" fillId="0" borderId="77" xfId="0" applyFont="1" applyBorder="1">
      <alignment vertical="center"/>
    </xf>
    <xf numFmtId="0" fontId="28" fillId="0" borderId="44" xfId="0" applyFont="1" applyBorder="1">
      <alignment vertical="center"/>
    </xf>
    <xf numFmtId="0" fontId="28" fillId="0" borderId="47" xfId="0" applyFont="1" applyBorder="1">
      <alignment vertical="center"/>
    </xf>
    <xf numFmtId="0" fontId="26" fillId="0" borderId="61" xfId="0" applyFont="1" applyBorder="1">
      <alignment vertical="center"/>
    </xf>
    <xf numFmtId="0" fontId="26" fillId="0" borderId="63" xfId="0" applyFont="1" applyBorder="1">
      <alignment vertical="center"/>
    </xf>
    <xf numFmtId="0" fontId="20" fillId="0" borderId="44" xfId="0" applyFont="1" applyBorder="1">
      <alignment vertical="center"/>
    </xf>
    <xf numFmtId="0" fontId="31" fillId="0" borderId="55" xfId="0" applyFont="1" applyBorder="1">
      <alignment vertical="center"/>
    </xf>
    <xf numFmtId="0" fontId="31" fillId="0" borderId="57" xfId="0" applyFont="1" applyBorder="1">
      <alignment vertical="center"/>
    </xf>
    <xf numFmtId="0" fontId="30" fillId="0" borderId="47" xfId="0" applyFont="1" applyBorder="1">
      <alignment vertical="center"/>
    </xf>
    <xf numFmtId="0" fontId="28" fillId="0" borderId="4" xfId="0" applyFont="1" applyBorder="1">
      <alignment vertical="center"/>
    </xf>
    <xf numFmtId="0" fontId="0" fillId="0" borderId="4" xfId="0" applyBorder="1">
      <alignment vertical="center"/>
    </xf>
    <xf numFmtId="0" fontId="26" fillId="0" borderId="5" xfId="0" applyFont="1" applyBorder="1">
      <alignment vertical="center"/>
    </xf>
    <xf numFmtId="0" fontId="26" fillId="0" borderId="78" xfId="0" applyFont="1" applyBorder="1">
      <alignment vertical="center"/>
    </xf>
    <xf numFmtId="0" fontId="28" fillId="0" borderId="10" xfId="0" applyFont="1" applyBorder="1">
      <alignment vertical="center"/>
    </xf>
    <xf numFmtId="0" fontId="0" fillId="0" borderId="10" xfId="0" applyBorder="1">
      <alignment vertical="center"/>
    </xf>
    <xf numFmtId="0" fontId="26" fillId="0" borderId="79" xfId="0" applyFont="1" applyBorder="1">
      <alignment vertical="center"/>
    </xf>
    <xf numFmtId="0" fontId="26" fillId="0" borderId="80" xfId="0" applyFont="1" applyBorder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colors>
    <mruColors>
      <color rgb="FF0000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close(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34</xdr:col>
      <xdr:colOff>307278</xdr:colOff>
      <xdr:row>56</xdr:row>
      <xdr:rowOff>190500</xdr:rowOff>
    </xdr:to>
    <xdr:pic>
      <xdr:nvPicPr>
        <xdr:cNvPr id="2" name="Picture 1" descr="http://cfile241.uf.daum.net/original/133E814B4F218878095CB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5800" y="209550"/>
          <a:ext cx="22938678" cy="1171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80"/>
  <sheetViews>
    <sheetView tabSelected="1" workbookViewId="0">
      <pane xSplit="3" ySplit="4" topLeftCell="R14" activePane="bottomRight" state="frozen"/>
      <selection pane="topRight" activeCell="V1" sqref="V1"/>
      <selection pane="bottomLeft" activeCell="A5" sqref="A5"/>
      <selection pane="bottomRight" activeCell="W34" sqref="W34"/>
    </sheetView>
  </sheetViews>
  <sheetFormatPr defaultRowHeight="16.5"/>
  <cols>
    <col min="1" max="1" width="15.625" style="283" customWidth="1"/>
    <col min="2" max="2" width="9" style="283"/>
  </cols>
  <sheetData>
    <row r="3" spans="1:36" s="150" customFormat="1" ht="16.5" customHeight="1">
      <c r="A3" s="281"/>
      <c r="B3" s="281"/>
      <c r="U3" s="265" t="s">
        <v>218</v>
      </c>
      <c r="V3" s="266" t="s">
        <v>219</v>
      </c>
    </row>
    <row r="4" spans="1:36" s="249" customFormat="1" ht="31.5" customHeight="1">
      <c r="A4" s="282"/>
      <c r="B4" s="282" t="s">
        <v>222</v>
      </c>
      <c r="C4" s="250" t="s">
        <v>220</v>
      </c>
      <c r="D4" s="250" t="s">
        <v>188</v>
      </c>
      <c r="E4" s="250" t="s">
        <v>189</v>
      </c>
      <c r="F4" s="250" t="s">
        <v>190</v>
      </c>
      <c r="G4" s="250" t="s">
        <v>191</v>
      </c>
      <c r="H4" s="250" t="s">
        <v>192</v>
      </c>
      <c r="I4" s="250" t="s">
        <v>193</v>
      </c>
      <c r="J4" s="250" t="s">
        <v>194</v>
      </c>
      <c r="K4" s="250" t="s">
        <v>195</v>
      </c>
      <c r="L4" s="250" t="s">
        <v>196</v>
      </c>
      <c r="M4" s="250" t="s">
        <v>197</v>
      </c>
      <c r="N4" s="250" t="s">
        <v>198</v>
      </c>
      <c r="O4" s="250" t="s">
        <v>199</v>
      </c>
      <c r="P4" s="250" t="s">
        <v>200</v>
      </c>
      <c r="Q4" s="250" t="s">
        <v>201</v>
      </c>
      <c r="R4" s="250" t="s">
        <v>202</v>
      </c>
      <c r="S4" s="250" t="s">
        <v>203</v>
      </c>
      <c r="T4" s="250" t="s">
        <v>204</v>
      </c>
      <c r="U4" s="251"/>
      <c r="V4" s="252"/>
      <c r="W4" s="250" t="s">
        <v>205</v>
      </c>
      <c r="X4" s="250" t="s">
        <v>206</v>
      </c>
      <c r="Y4" s="250" t="s">
        <v>207</v>
      </c>
      <c r="Z4" s="250" t="s">
        <v>208</v>
      </c>
      <c r="AA4" s="250" t="s">
        <v>209</v>
      </c>
      <c r="AB4" s="250" t="s">
        <v>210</v>
      </c>
      <c r="AC4" s="250" t="s">
        <v>211</v>
      </c>
      <c r="AD4" s="250" t="s">
        <v>212</v>
      </c>
      <c r="AE4" s="250" t="s">
        <v>213</v>
      </c>
      <c r="AF4" s="250" t="s">
        <v>190</v>
      </c>
      <c r="AG4" s="250" t="s">
        <v>214</v>
      </c>
      <c r="AH4" s="250" t="s">
        <v>215</v>
      </c>
      <c r="AI4" s="250" t="s">
        <v>216</v>
      </c>
      <c r="AJ4" s="250" t="s">
        <v>217</v>
      </c>
    </row>
    <row r="5" spans="1:36" ht="24" customHeight="1">
      <c r="T5" t="s">
        <v>135</v>
      </c>
      <c r="U5" s="253">
        <v>336.0071428571427</v>
      </c>
      <c r="V5" s="254">
        <v>497.35679093273558</v>
      </c>
    </row>
    <row r="6" spans="1:36" ht="24" customHeight="1">
      <c r="S6" t="s">
        <v>157</v>
      </c>
      <c r="U6" s="253">
        <v>335.64999999999981</v>
      </c>
      <c r="V6" s="254">
        <v>496.82814911928273</v>
      </c>
    </row>
    <row r="7" spans="1:36" ht="24" customHeight="1">
      <c r="S7" t="s">
        <v>166</v>
      </c>
      <c r="U7" s="253">
        <v>335.29285714285697</v>
      </c>
      <c r="V7" s="254">
        <v>496.29950730582982</v>
      </c>
      <c r="W7" t="s">
        <v>157</v>
      </c>
    </row>
    <row r="8" spans="1:36" ht="24" customHeight="1">
      <c r="I8" t="s">
        <v>157</v>
      </c>
      <c r="P8" t="s">
        <v>135</v>
      </c>
      <c r="U8" s="253">
        <v>334.93571428571414</v>
      </c>
      <c r="V8" s="254">
        <v>495.77086549237697</v>
      </c>
      <c r="W8" t="s">
        <v>135</v>
      </c>
    </row>
    <row r="9" spans="1:36" ht="24" customHeight="1">
      <c r="P9" t="s">
        <v>131</v>
      </c>
      <c r="Q9" t="s">
        <v>157</v>
      </c>
      <c r="U9" s="253">
        <v>334.57857142857125</v>
      </c>
      <c r="V9" s="254">
        <v>495.24222367892412</v>
      </c>
      <c r="X9" t="s">
        <v>157</v>
      </c>
      <c r="Y9" t="s">
        <v>135</v>
      </c>
    </row>
    <row r="10" spans="1:36" ht="24" customHeight="1">
      <c r="U10" s="253">
        <v>334.22142857142842</v>
      </c>
      <c r="V10" s="254">
        <v>494.71358186547121</v>
      </c>
      <c r="X10" t="s">
        <v>135</v>
      </c>
      <c r="AB10" t="s">
        <v>151</v>
      </c>
    </row>
    <row r="11" spans="1:36" ht="24" customHeight="1">
      <c r="A11" s="283" t="s">
        <v>221</v>
      </c>
      <c r="B11" s="28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 t="s">
        <v>168</v>
      </c>
      <c r="T11" s="1" t="s">
        <v>136</v>
      </c>
      <c r="U11" s="255">
        <v>333.86428571428553</v>
      </c>
      <c r="V11" s="256">
        <v>494.18494005201836</v>
      </c>
      <c r="W11" s="1" t="s">
        <v>138</v>
      </c>
      <c r="X11" s="1"/>
      <c r="Y11" s="1" t="s">
        <v>144</v>
      </c>
      <c r="Z11" s="1" t="s">
        <v>135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4" customHeight="1">
      <c r="T12" t="s">
        <v>139</v>
      </c>
      <c r="U12" s="253">
        <v>333.5071428571427</v>
      </c>
      <c r="V12" s="254">
        <v>493.65629823856551</v>
      </c>
      <c r="X12" t="s">
        <v>143</v>
      </c>
      <c r="Z12" t="s">
        <v>147</v>
      </c>
      <c r="AA12" t="s">
        <v>135</v>
      </c>
    </row>
    <row r="13" spans="1:36" ht="24" customHeight="1">
      <c r="A13" s="283" t="s">
        <v>221</v>
      </c>
      <c r="B13" s="28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172</v>
      </c>
      <c r="R13" s="3"/>
      <c r="S13" s="3" t="s">
        <v>167</v>
      </c>
      <c r="T13" s="3" t="s">
        <v>141</v>
      </c>
      <c r="U13" s="278">
        <v>333.14999999999981</v>
      </c>
      <c r="V13" s="279">
        <v>493.1276564251126</v>
      </c>
      <c r="W13" s="3" t="s">
        <v>140</v>
      </c>
      <c r="X13" s="3"/>
      <c r="Y13" s="3"/>
      <c r="Z13" s="3"/>
      <c r="AA13" s="3" t="s">
        <v>149</v>
      </c>
      <c r="AB13" s="3"/>
      <c r="AC13" s="3" t="s">
        <v>154</v>
      </c>
      <c r="AD13" s="3"/>
      <c r="AE13" s="3"/>
      <c r="AF13" s="3"/>
      <c r="AG13" s="3"/>
      <c r="AH13" s="3"/>
      <c r="AI13" s="3"/>
      <c r="AJ13" s="3"/>
    </row>
    <row r="14" spans="1:36" ht="24" customHeight="1">
      <c r="T14" s="244"/>
      <c r="U14" s="257">
        <v>332.79285714285697</v>
      </c>
      <c r="V14" s="258">
        <v>492.5990146116597</v>
      </c>
      <c r="W14" s="244"/>
      <c r="AB14" t="s">
        <v>152</v>
      </c>
      <c r="AC14" t="s">
        <v>155</v>
      </c>
    </row>
    <row r="15" spans="1:36" ht="24" customHeight="1">
      <c r="T15" s="244"/>
      <c r="U15" s="259">
        <v>332.43571428571414</v>
      </c>
      <c r="V15" s="260">
        <v>492.07037279820685</v>
      </c>
      <c r="W15" s="244"/>
      <c r="AC15" t="s">
        <v>156</v>
      </c>
    </row>
    <row r="16" spans="1:36" ht="24" customHeight="1">
      <c r="K16" t="s">
        <v>178</v>
      </c>
      <c r="P16" t="s">
        <v>170</v>
      </c>
      <c r="T16" s="244"/>
      <c r="U16" s="257">
        <v>332.07857142857125</v>
      </c>
      <c r="V16" s="258">
        <v>491.54173098475394</v>
      </c>
      <c r="W16" s="244"/>
    </row>
    <row r="17" spans="1:36" ht="24" customHeight="1">
      <c r="T17" s="244"/>
      <c r="U17" s="267">
        <v>331.36428571428553</v>
      </c>
      <c r="V17" s="268">
        <v>490.48444735784824</v>
      </c>
      <c r="W17" s="244"/>
    </row>
    <row r="18" spans="1:36" ht="24" customHeight="1">
      <c r="A18" s="286" t="s">
        <v>223</v>
      </c>
      <c r="B18" s="286">
        <f>+C18+AJ18</f>
        <v>1079</v>
      </c>
      <c r="C18" s="271">
        <f>SUM(D18:T18)</f>
        <v>397</v>
      </c>
      <c r="D18" s="271">
        <f>12+9+9+7+10+9</f>
        <v>56</v>
      </c>
      <c r="E18" s="271">
        <v>16</v>
      </c>
      <c r="F18" s="271">
        <v>13</v>
      </c>
      <c r="G18" s="271">
        <v>24</v>
      </c>
      <c r="H18" s="271">
        <v>18</v>
      </c>
      <c r="I18" s="271">
        <v>7</v>
      </c>
      <c r="J18" s="271">
        <v>22</v>
      </c>
      <c r="K18" s="271">
        <v>9</v>
      </c>
      <c r="L18" s="271">
        <v>5</v>
      </c>
      <c r="M18" s="271">
        <v>10</v>
      </c>
      <c r="N18" s="271">
        <v>12</v>
      </c>
      <c r="O18" s="271">
        <v>15</v>
      </c>
      <c r="P18" s="271">
        <v>18</v>
      </c>
      <c r="Q18" s="271">
        <v>24</v>
      </c>
      <c r="R18" s="271">
        <v>18</v>
      </c>
      <c r="S18" s="271">
        <v>41</v>
      </c>
      <c r="T18" s="271">
        <v>89</v>
      </c>
      <c r="U18" s="272"/>
      <c r="V18" s="273"/>
      <c r="W18" s="271">
        <v>120</v>
      </c>
      <c r="X18" s="271">
        <v>130</v>
      </c>
      <c r="Y18" s="271">
        <v>37</v>
      </c>
      <c r="Z18" s="271">
        <v>18</v>
      </c>
      <c r="AA18" s="271">
        <v>113</v>
      </c>
      <c r="AB18" s="271">
        <v>25</v>
      </c>
      <c r="AC18" s="271">
        <v>146</v>
      </c>
      <c r="AD18" s="271">
        <v>19</v>
      </c>
      <c r="AE18" s="271">
        <v>7</v>
      </c>
      <c r="AF18" s="271">
        <v>18</v>
      </c>
      <c r="AG18" s="271">
        <v>20</v>
      </c>
      <c r="AH18" s="271">
        <v>16</v>
      </c>
      <c r="AI18" s="271">
        <v>13</v>
      </c>
      <c r="AJ18" s="271">
        <f>SUM(W18:AI18)</f>
        <v>682</v>
      </c>
    </row>
    <row r="19" spans="1:36" ht="24" customHeight="1">
      <c r="A19" s="287" t="s">
        <v>224</v>
      </c>
      <c r="B19" s="287">
        <f>+C19+AJ19</f>
        <v>381</v>
      </c>
      <c r="C19" s="274">
        <f>SUM(D19:T19)</f>
        <v>172</v>
      </c>
      <c r="D19" s="274">
        <f>2+1+2</f>
        <v>5</v>
      </c>
      <c r="E19" s="274">
        <v>3</v>
      </c>
      <c r="F19" s="274">
        <v>3</v>
      </c>
      <c r="G19" s="274">
        <v>9</v>
      </c>
      <c r="H19" s="274">
        <v>4</v>
      </c>
      <c r="I19" s="274">
        <v>5</v>
      </c>
      <c r="J19" s="274">
        <v>4</v>
      </c>
      <c r="K19" s="274">
        <v>4</v>
      </c>
      <c r="L19" s="274">
        <v>1</v>
      </c>
      <c r="M19" s="274">
        <v>4</v>
      </c>
      <c r="N19" s="274">
        <v>4</v>
      </c>
      <c r="O19" s="274">
        <v>5</v>
      </c>
      <c r="P19" s="274">
        <v>11</v>
      </c>
      <c r="Q19" s="274">
        <v>9</v>
      </c>
      <c r="R19" s="274">
        <v>7</v>
      </c>
      <c r="S19" s="274">
        <v>27</v>
      </c>
      <c r="T19" s="274">
        <v>67</v>
      </c>
      <c r="U19" s="261"/>
      <c r="V19" s="262"/>
      <c r="W19" s="274">
        <v>60</v>
      </c>
      <c r="X19" s="274">
        <v>46</v>
      </c>
      <c r="Y19" s="274">
        <v>11</v>
      </c>
      <c r="Z19" s="274">
        <v>8</v>
      </c>
      <c r="AA19" s="274">
        <v>38</v>
      </c>
      <c r="AB19" s="274">
        <v>4</v>
      </c>
      <c r="AC19" s="274">
        <v>21</v>
      </c>
      <c r="AD19" s="274">
        <v>6</v>
      </c>
      <c r="AE19" s="274">
        <v>4</v>
      </c>
      <c r="AF19" s="274">
        <v>3</v>
      </c>
      <c r="AG19" s="274">
        <v>1</v>
      </c>
      <c r="AH19" s="274">
        <v>3</v>
      </c>
      <c r="AI19" s="274">
        <v>4</v>
      </c>
      <c r="AJ19" s="274">
        <f>SUM(W19:AI19)</f>
        <v>209</v>
      </c>
    </row>
    <row r="20" spans="1:36" ht="24" customHeight="1">
      <c r="A20" s="287" t="s">
        <v>225</v>
      </c>
      <c r="B20" s="288">
        <f>+B19/B18</f>
        <v>0.35310472659870251</v>
      </c>
      <c r="C20" s="275">
        <f t="shared" ref="C20:AJ20" si="0">+C19/C18</f>
        <v>0.43324937027707811</v>
      </c>
      <c r="D20" s="275">
        <f t="shared" si="0"/>
        <v>8.9285714285714288E-2</v>
      </c>
      <c r="E20" s="275">
        <f t="shared" si="0"/>
        <v>0.1875</v>
      </c>
      <c r="F20" s="275">
        <f t="shared" si="0"/>
        <v>0.23076923076923078</v>
      </c>
      <c r="G20" s="275">
        <f t="shared" si="0"/>
        <v>0.375</v>
      </c>
      <c r="H20" s="275">
        <f t="shared" si="0"/>
        <v>0.22222222222222221</v>
      </c>
      <c r="I20" s="275">
        <f t="shared" si="0"/>
        <v>0.7142857142857143</v>
      </c>
      <c r="J20" s="275">
        <f t="shared" si="0"/>
        <v>0.18181818181818182</v>
      </c>
      <c r="K20" s="275">
        <f t="shared" si="0"/>
        <v>0.44444444444444442</v>
      </c>
      <c r="L20" s="275">
        <f t="shared" si="0"/>
        <v>0.2</v>
      </c>
      <c r="M20" s="275">
        <f t="shared" si="0"/>
        <v>0.4</v>
      </c>
      <c r="N20" s="275">
        <f t="shared" si="0"/>
        <v>0.33333333333333331</v>
      </c>
      <c r="O20" s="275">
        <f t="shared" si="0"/>
        <v>0.33333333333333331</v>
      </c>
      <c r="P20" s="275">
        <f t="shared" si="0"/>
        <v>0.61111111111111116</v>
      </c>
      <c r="Q20" s="275">
        <f t="shared" si="0"/>
        <v>0.375</v>
      </c>
      <c r="R20" s="275">
        <f t="shared" si="0"/>
        <v>0.3888888888888889</v>
      </c>
      <c r="S20" s="276">
        <f t="shared" si="0"/>
        <v>0.65853658536585369</v>
      </c>
      <c r="T20" s="276">
        <f t="shared" si="0"/>
        <v>0.7528089887640449</v>
      </c>
      <c r="U20" s="275" t="s">
        <v>116</v>
      </c>
      <c r="V20" s="275" t="s">
        <v>116</v>
      </c>
      <c r="W20" s="276">
        <f t="shared" si="0"/>
        <v>0.5</v>
      </c>
      <c r="X20" s="276">
        <f t="shared" si="0"/>
        <v>0.35384615384615387</v>
      </c>
      <c r="Y20" s="275">
        <f t="shared" si="0"/>
        <v>0.29729729729729731</v>
      </c>
      <c r="Z20" s="275">
        <f t="shared" si="0"/>
        <v>0.44444444444444442</v>
      </c>
      <c r="AA20" s="275">
        <f t="shared" si="0"/>
        <v>0.33628318584070799</v>
      </c>
      <c r="AB20" s="275">
        <f t="shared" si="0"/>
        <v>0.16</v>
      </c>
      <c r="AC20" s="275">
        <f t="shared" si="0"/>
        <v>0.14383561643835616</v>
      </c>
      <c r="AD20" s="275">
        <f t="shared" si="0"/>
        <v>0.31578947368421051</v>
      </c>
      <c r="AE20" s="275">
        <f t="shared" si="0"/>
        <v>0.5714285714285714</v>
      </c>
      <c r="AF20" s="275">
        <f t="shared" si="0"/>
        <v>0.16666666666666666</v>
      </c>
      <c r="AG20" s="275">
        <f t="shared" si="0"/>
        <v>0.05</v>
      </c>
      <c r="AH20" s="275">
        <f t="shared" si="0"/>
        <v>0.1875</v>
      </c>
      <c r="AI20" s="275">
        <f t="shared" si="0"/>
        <v>0.30769230769230771</v>
      </c>
      <c r="AJ20" s="275">
        <f t="shared" si="0"/>
        <v>0.30645161290322581</v>
      </c>
    </row>
    <row r="21" spans="1:36" ht="24" customHeight="1">
      <c r="A21" s="287" t="s">
        <v>226</v>
      </c>
      <c r="B21" s="287">
        <f>+B18-B19</f>
        <v>698</v>
      </c>
      <c r="C21" s="274">
        <f t="shared" ref="C21:AJ21" si="1">+C18-C19</f>
        <v>225</v>
      </c>
      <c r="D21" s="274">
        <f t="shared" si="1"/>
        <v>51</v>
      </c>
      <c r="E21" s="274">
        <f t="shared" si="1"/>
        <v>13</v>
      </c>
      <c r="F21" s="274">
        <f t="shared" si="1"/>
        <v>10</v>
      </c>
      <c r="G21" s="274">
        <f t="shared" si="1"/>
        <v>15</v>
      </c>
      <c r="H21" s="274">
        <f t="shared" si="1"/>
        <v>14</v>
      </c>
      <c r="I21" s="274">
        <f t="shared" si="1"/>
        <v>2</v>
      </c>
      <c r="J21" s="274">
        <f t="shared" si="1"/>
        <v>18</v>
      </c>
      <c r="K21" s="274">
        <f t="shared" si="1"/>
        <v>5</v>
      </c>
      <c r="L21" s="274">
        <f t="shared" si="1"/>
        <v>4</v>
      </c>
      <c r="M21" s="274">
        <f t="shared" si="1"/>
        <v>6</v>
      </c>
      <c r="N21" s="274">
        <f t="shared" si="1"/>
        <v>8</v>
      </c>
      <c r="O21" s="274">
        <f t="shared" si="1"/>
        <v>10</v>
      </c>
      <c r="P21" s="274">
        <f t="shared" si="1"/>
        <v>7</v>
      </c>
      <c r="Q21" s="274">
        <f t="shared" si="1"/>
        <v>15</v>
      </c>
      <c r="R21" s="274">
        <f t="shared" si="1"/>
        <v>11</v>
      </c>
      <c r="S21" s="280">
        <f t="shared" si="1"/>
        <v>14</v>
      </c>
      <c r="T21" s="280">
        <f t="shared" si="1"/>
        <v>22</v>
      </c>
      <c r="U21" s="280" t="s">
        <v>116</v>
      </c>
      <c r="V21" s="280" t="s">
        <v>116</v>
      </c>
      <c r="W21" s="280">
        <f t="shared" si="1"/>
        <v>60</v>
      </c>
      <c r="X21" s="280">
        <f t="shared" si="1"/>
        <v>84</v>
      </c>
      <c r="Y21" s="274">
        <f t="shared" si="1"/>
        <v>26</v>
      </c>
      <c r="Z21" s="274">
        <f t="shared" si="1"/>
        <v>10</v>
      </c>
      <c r="AA21" s="274">
        <f t="shared" si="1"/>
        <v>75</v>
      </c>
      <c r="AB21" s="274">
        <f t="shared" si="1"/>
        <v>21</v>
      </c>
      <c r="AC21" s="274">
        <f t="shared" si="1"/>
        <v>125</v>
      </c>
      <c r="AD21" s="274">
        <f t="shared" si="1"/>
        <v>13</v>
      </c>
      <c r="AE21" s="274">
        <f t="shared" si="1"/>
        <v>3</v>
      </c>
      <c r="AF21" s="274">
        <f t="shared" si="1"/>
        <v>15</v>
      </c>
      <c r="AG21" s="274">
        <f t="shared" si="1"/>
        <v>19</v>
      </c>
      <c r="AH21" s="274">
        <f t="shared" si="1"/>
        <v>13</v>
      </c>
      <c r="AI21" s="274">
        <f t="shared" si="1"/>
        <v>9</v>
      </c>
      <c r="AJ21" s="274">
        <f t="shared" si="1"/>
        <v>473</v>
      </c>
    </row>
    <row r="22" spans="1:36" ht="24" customHeight="1">
      <c r="A22" s="289"/>
      <c r="B22" s="289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</row>
    <row r="23" spans="1:36" ht="24" customHeight="1" thickBot="1">
      <c r="A23" s="289"/>
      <c r="B23" s="289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</row>
    <row r="24" spans="1:36" ht="24" customHeight="1">
      <c r="A24" s="298" t="s">
        <v>227</v>
      </c>
      <c r="B24" s="298">
        <f>+C24+AJ24</f>
        <v>102</v>
      </c>
      <c r="C24" s="299">
        <f>SUM(D24:T24)</f>
        <v>55</v>
      </c>
      <c r="D24" s="299">
        <v>1</v>
      </c>
      <c r="E24" s="299">
        <v>1</v>
      </c>
      <c r="F24" s="299">
        <v>1</v>
      </c>
      <c r="G24" s="299">
        <v>2</v>
      </c>
      <c r="H24" s="299"/>
      <c r="I24" s="299">
        <v>2</v>
      </c>
      <c r="J24" s="299">
        <v>2</v>
      </c>
      <c r="K24" s="299">
        <v>1</v>
      </c>
      <c r="L24" s="299"/>
      <c r="M24" s="299"/>
      <c r="N24" s="299">
        <v>1</v>
      </c>
      <c r="O24" s="299">
        <v>2</v>
      </c>
      <c r="P24" s="299">
        <v>5</v>
      </c>
      <c r="Q24" s="299">
        <v>5</v>
      </c>
      <c r="R24" s="299">
        <v>2</v>
      </c>
      <c r="S24" s="299">
        <v>10</v>
      </c>
      <c r="T24" s="299">
        <v>20</v>
      </c>
      <c r="U24" s="300"/>
      <c r="V24" s="301"/>
      <c r="W24" s="299">
        <v>10</v>
      </c>
      <c r="X24" s="299">
        <v>8</v>
      </c>
      <c r="Y24" s="299">
        <v>6</v>
      </c>
      <c r="Z24" s="299">
        <v>2</v>
      </c>
      <c r="AA24" s="299">
        <v>10</v>
      </c>
      <c r="AB24" s="299">
        <v>1</v>
      </c>
      <c r="AC24" s="299">
        <v>2</v>
      </c>
      <c r="AD24" s="299">
        <v>2</v>
      </c>
      <c r="AE24" s="299">
        <v>2</v>
      </c>
      <c r="AF24" s="299">
        <v>1</v>
      </c>
      <c r="AG24" s="299">
        <v>1</v>
      </c>
      <c r="AH24" s="299">
        <v>1</v>
      </c>
      <c r="AI24" s="299">
        <v>1</v>
      </c>
      <c r="AJ24" s="299">
        <f>SUM(W24:AI24)</f>
        <v>47</v>
      </c>
    </row>
    <row r="25" spans="1:36" ht="24" customHeight="1">
      <c r="A25" s="291" t="s">
        <v>228</v>
      </c>
      <c r="B25" s="291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292"/>
      <c r="V25" s="293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</row>
    <row r="26" spans="1:36" ht="24" customHeight="1">
      <c r="A26" s="290" t="s">
        <v>229</v>
      </c>
      <c r="B26" s="290">
        <f>+C26+AJ26</f>
        <v>32</v>
      </c>
      <c r="C26" s="145">
        <f>SUM(D26:T26)</f>
        <v>11</v>
      </c>
      <c r="D26" s="145"/>
      <c r="E26" s="145"/>
      <c r="F26" s="145"/>
      <c r="G26" s="145">
        <v>1</v>
      </c>
      <c r="H26" s="145"/>
      <c r="I26" s="145"/>
      <c r="J26" s="145"/>
      <c r="K26" s="145">
        <v>1</v>
      </c>
      <c r="L26" s="145"/>
      <c r="M26" s="145"/>
      <c r="N26" s="145"/>
      <c r="O26" s="145"/>
      <c r="P26" s="145">
        <v>2</v>
      </c>
      <c r="Q26" s="145">
        <v>2</v>
      </c>
      <c r="R26" s="145">
        <v>1</v>
      </c>
      <c r="S26" s="294">
        <v>2</v>
      </c>
      <c r="T26" s="294">
        <v>2</v>
      </c>
      <c r="U26" s="295"/>
      <c r="V26" s="296"/>
      <c r="W26" s="294">
        <f>+W21*0.1</f>
        <v>6</v>
      </c>
      <c r="X26" s="294">
        <v>6</v>
      </c>
      <c r="Y26" s="145">
        <v>2</v>
      </c>
      <c r="Z26" s="145">
        <v>1</v>
      </c>
      <c r="AA26" s="145">
        <v>2</v>
      </c>
      <c r="AB26" s="145">
        <v>1</v>
      </c>
      <c r="AC26" s="145">
        <v>1</v>
      </c>
      <c r="AD26" s="145"/>
      <c r="AE26" s="145"/>
      <c r="AF26" s="145"/>
      <c r="AG26" s="145"/>
      <c r="AH26" s="145">
        <v>1</v>
      </c>
      <c r="AI26" s="145">
        <v>1</v>
      </c>
      <c r="AJ26" s="145">
        <f>SUM(W26:AI26)</f>
        <v>21</v>
      </c>
    </row>
    <row r="27" spans="1:36" ht="24" customHeight="1" thickBot="1">
      <c r="A27" s="302" t="s">
        <v>230</v>
      </c>
      <c r="B27" s="302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4"/>
      <c r="V27" s="305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</row>
    <row r="28" spans="1:36" ht="24" customHeight="1">
      <c r="A28" s="283" t="s">
        <v>231</v>
      </c>
      <c r="J28" s="297" t="s">
        <v>233</v>
      </c>
      <c r="U28" s="269"/>
      <c r="V28" s="270"/>
    </row>
    <row r="29" spans="1:36" ht="24" customHeight="1">
      <c r="A29" s="283" t="s">
        <v>232</v>
      </c>
      <c r="U29" s="261"/>
      <c r="V29" s="262"/>
    </row>
    <row r="30" spans="1:36" ht="24" customHeight="1">
      <c r="U30" s="261"/>
      <c r="V30" s="262"/>
    </row>
    <row r="31" spans="1:36" ht="24" customHeight="1">
      <c r="S31">
        <f>+S19+S24+S26</f>
        <v>39</v>
      </c>
      <c r="T31">
        <f>+T19+T24+T26</f>
        <v>89</v>
      </c>
      <c r="U31" s="263"/>
      <c r="V31" s="264"/>
      <c r="W31">
        <f>+W19+W24+W26</f>
        <v>76</v>
      </c>
      <c r="X31">
        <f>+X19+X24+X26</f>
        <v>60</v>
      </c>
    </row>
    <row r="33" spans="23:23">
      <c r="W33" t="s">
        <v>116</v>
      </c>
    </row>
    <row r="50" spans="1:2" ht="19.5" customHeight="1"/>
    <row r="51" spans="1:2" ht="19.5" customHeight="1"/>
    <row r="52" spans="1:2" ht="19.5" customHeight="1"/>
    <row r="54" spans="1:2" s="150" customFormat="1" ht="16.5" customHeight="1">
      <c r="A54" s="281"/>
      <c r="B54" s="281"/>
    </row>
    <row r="55" spans="1:2" s="150" customFormat="1">
      <c r="A55" s="281"/>
      <c r="B55" s="281"/>
    </row>
    <row r="73" spans="1:2" ht="9" customHeight="1"/>
    <row r="79" spans="1:2" ht="6.75" customHeight="1"/>
    <row r="80" spans="1:2" s="150" customFormat="1">
      <c r="A80" s="281"/>
      <c r="B80" s="28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E78"/>
  <sheetViews>
    <sheetView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A35" sqref="A35:XFD35"/>
    </sheetView>
  </sheetViews>
  <sheetFormatPr defaultRowHeight="16.5"/>
  <cols>
    <col min="1" max="1" width="3.875" customWidth="1"/>
    <col min="3" max="11" width="9" customWidth="1"/>
    <col min="12" max="12" width="8.125" customWidth="1"/>
    <col min="13" max="16" width="7.25" customWidth="1"/>
    <col min="17" max="17" width="3.625" customWidth="1"/>
  </cols>
  <sheetData>
    <row r="2" spans="2:57" ht="18" thickBot="1">
      <c r="B2" s="143" t="s">
        <v>117</v>
      </c>
    </row>
    <row r="3" spans="2:57" s="150" customFormat="1" ht="16.5" customHeight="1">
      <c r="B3" s="230" t="s">
        <v>70</v>
      </c>
      <c r="C3" s="151">
        <v>2012</v>
      </c>
      <c r="D3" s="152" t="s">
        <v>73</v>
      </c>
      <c r="E3" s="153" t="s">
        <v>74</v>
      </c>
      <c r="F3" s="154" t="s">
        <v>75</v>
      </c>
      <c r="G3" s="155">
        <v>2011</v>
      </c>
      <c r="H3" s="156" t="s">
        <v>76</v>
      </c>
      <c r="I3" s="239" t="s">
        <v>77</v>
      </c>
      <c r="J3" s="240"/>
      <c r="K3" s="241"/>
      <c r="M3" s="183">
        <v>2010</v>
      </c>
      <c r="N3" s="185"/>
      <c r="O3" s="183">
        <v>2009</v>
      </c>
      <c r="P3" s="185"/>
      <c r="AP3" s="150" t="s">
        <v>179</v>
      </c>
      <c r="AQ3" s="150" t="s">
        <v>180</v>
      </c>
    </row>
    <row r="4" spans="2:57" s="150" customFormat="1" ht="17.25" thickBot="1">
      <c r="B4" s="231"/>
      <c r="C4" s="157" t="s">
        <v>78</v>
      </c>
      <c r="D4" s="158" t="s">
        <v>79</v>
      </c>
      <c r="E4" s="159" t="s">
        <v>80</v>
      </c>
      <c r="F4" s="160" t="s">
        <v>81</v>
      </c>
      <c r="G4" s="161" t="s">
        <v>78</v>
      </c>
      <c r="H4" s="162" t="s">
        <v>62</v>
      </c>
      <c r="I4" s="163" t="s">
        <v>82</v>
      </c>
      <c r="J4" s="163" t="s">
        <v>83</v>
      </c>
      <c r="K4" s="164" t="s">
        <v>84</v>
      </c>
      <c r="M4" s="205" t="s">
        <v>47</v>
      </c>
      <c r="N4" s="206" t="s">
        <v>63</v>
      </c>
      <c r="O4" s="205" t="s">
        <v>47</v>
      </c>
      <c r="P4" s="206" t="s">
        <v>63</v>
      </c>
      <c r="R4" s="150" t="s">
        <v>129</v>
      </c>
      <c r="U4" s="150" t="s">
        <v>132</v>
      </c>
      <c r="W4" s="150" t="s">
        <v>133</v>
      </c>
      <c r="Y4" s="150" t="s">
        <v>187</v>
      </c>
      <c r="Z4" s="150" t="s">
        <v>186</v>
      </c>
      <c r="AA4" s="150" t="s">
        <v>159</v>
      </c>
      <c r="AB4" s="150" t="s">
        <v>185</v>
      </c>
      <c r="AC4" s="150" t="s">
        <v>184</v>
      </c>
      <c r="AD4" s="150" t="s">
        <v>173</v>
      </c>
      <c r="AE4" s="150" t="s">
        <v>183</v>
      </c>
      <c r="AF4" s="150" t="s">
        <v>177</v>
      </c>
      <c r="AG4" s="150" t="s">
        <v>182</v>
      </c>
      <c r="AH4" s="150" t="s">
        <v>181</v>
      </c>
      <c r="AI4" s="150" t="s">
        <v>176</v>
      </c>
      <c r="AJ4" s="150" t="s">
        <v>174</v>
      </c>
      <c r="AK4" s="150" t="s">
        <v>169</v>
      </c>
      <c r="AL4" s="150" t="s">
        <v>171</v>
      </c>
      <c r="AM4" s="150" t="s">
        <v>175</v>
      </c>
      <c r="AN4" s="150" t="s">
        <v>165</v>
      </c>
      <c r="AO4" s="150" t="s">
        <v>134</v>
      </c>
      <c r="AR4" s="150" t="s">
        <v>137</v>
      </c>
      <c r="AS4" s="150" t="s">
        <v>142</v>
      </c>
      <c r="AT4" s="150" t="s">
        <v>145</v>
      </c>
      <c r="AU4" s="150" t="s">
        <v>146</v>
      </c>
      <c r="AV4" s="150" t="s">
        <v>148</v>
      </c>
      <c r="AW4" s="150" t="s">
        <v>150</v>
      </c>
      <c r="AX4" s="150" t="s">
        <v>153</v>
      </c>
      <c r="AY4" s="150" t="s">
        <v>158</v>
      </c>
      <c r="AZ4" s="150" t="s">
        <v>163</v>
      </c>
      <c r="BA4" s="150" t="s">
        <v>159</v>
      </c>
      <c r="BB4" s="150" t="s">
        <v>160</v>
      </c>
      <c r="BC4" s="150" t="s">
        <v>161</v>
      </c>
      <c r="BD4" s="150" t="s">
        <v>162</v>
      </c>
      <c r="BE4" s="150" t="s">
        <v>164</v>
      </c>
    </row>
    <row r="5" spans="2:57">
      <c r="B5" s="19" t="s">
        <v>85</v>
      </c>
      <c r="C5" s="20">
        <v>120</v>
      </c>
      <c r="D5" s="21">
        <v>0.75</v>
      </c>
      <c r="E5" s="22">
        <v>35</v>
      </c>
      <c r="F5" s="23">
        <v>60</v>
      </c>
      <c r="G5" s="24">
        <v>161</v>
      </c>
      <c r="H5" s="25">
        <v>79</v>
      </c>
      <c r="I5" s="26">
        <v>58</v>
      </c>
      <c r="J5" s="26">
        <v>14</v>
      </c>
      <c r="K5" s="27">
        <v>7</v>
      </c>
      <c r="M5" s="203">
        <v>179</v>
      </c>
      <c r="N5" s="204">
        <f>93+21+1</f>
        <v>115</v>
      </c>
      <c r="O5" s="203">
        <v>172</v>
      </c>
      <c r="P5" s="204">
        <f>79+30+9</f>
        <v>118</v>
      </c>
      <c r="R5">
        <v>60</v>
      </c>
      <c r="S5" s="242">
        <f>+R5/C5</f>
        <v>0.5</v>
      </c>
      <c r="U5">
        <v>15</v>
      </c>
      <c r="W5">
        <f>+R5+U5</f>
        <v>75</v>
      </c>
      <c r="AO5" t="s">
        <v>135</v>
      </c>
      <c r="AP5" s="245">
        <v>336.0071428571427</v>
      </c>
      <c r="AQ5" s="245">
        <v>497.35679093273558</v>
      </c>
    </row>
    <row r="6" spans="2:57">
      <c r="B6" s="28" t="s">
        <v>86</v>
      </c>
      <c r="C6" s="29">
        <v>113</v>
      </c>
      <c r="D6" s="30">
        <v>0.73</v>
      </c>
      <c r="E6" s="31" t="s">
        <v>87</v>
      </c>
      <c r="F6" s="32">
        <v>25</v>
      </c>
      <c r="G6" s="33">
        <v>154</v>
      </c>
      <c r="H6" s="34">
        <v>31</v>
      </c>
      <c r="I6" s="35">
        <v>23</v>
      </c>
      <c r="J6" s="35">
        <v>5</v>
      </c>
      <c r="K6" s="36">
        <v>3</v>
      </c>
      <c r="M6" s="199">
        <v>165</v>
      </c>
      <c r="N6" s="200">
        <f>13+2+2</f>
        <v>17</v>
      </c>
      <c r="O6" s="199">
        <v>193</v>
      </c>
      <c r="P6" s="200">
        <f>26+3+1</f>
        <v>30</v>
      </c>
      <c r="R6">
        <v>38</v>
      </c>
      <c r="S6" s="242">
        <f t="shared" ref="S6:S19" si="0">+R6/C6</f>
        <v>0.33628318584070799</v>
      </c>
      <c r="U6">
        <v>10</v>
      </c>
      <c r="W6">
        <f t="shared" ref="W6:W49" si="1">+R6+U6</f>
        <v>48</v>
      </c>
      <c r="AN6" t="s">
        <v>157</v>
      </c>
      <c r="AP6" s="245">
        <v>335.64999999999981</v>
      </c>
      <c r="AQ6" s="245">
        <v>496.82814911928273</v>
      </c>
    </row>
    <row r="7" spans="2:57">
      <c r="B7" s="28" t="s">
        <v>88</v>
      </c>
      <c r="C7" s="29">
        <v>146</v>
      </c>
      <c r="D7" s="30">
        <v>0.82</v>
      </c>
      <c r="E7" s="31"/>
      <c r="F7" s="32">
        <v>25</v>
      </c>
      <c r="G7" s="33">
        <v>177</v>
      </c>
      <c r="H7" s="34">
        <v>28</v>
      </c>
      <c r="I7" s="35">
        <v>21</v>
      </c>
      <c r="J7" s="35">
        <v>2</v>
      </c>
      <c r="K7" s="36">
        <v>5</v>
      </c>
      <c r="M7" s="199">
        <v>199</v>
      </c>
      <c r="N7" s="200">
        <f>17+1+3</f>
        <v>21</v>
      </c>
      <c r="O7" s="199">
        <v>224</v>
      </c>
      <c r="P7" s="200">
        <f>18+3+1</f>
        <v>22</v>
      </c>
      <c r="R7">
        <v>21</v>
      </c>
      <c r="S7" s="242">
        <f t="shared" si="0"/>
        <v>0.14383561643835616</v>
      </c>
      <c r="U7">
        <v>2</v>
      </c>
      <c r="W7">
        <f t="shared" si="1"/>
        <v>23</v>
      </c>
      <c r="AN7" t="s">
        <v>166</v>
      </c>
      <c r="AP7" s="245">
        <v>335.29285714285697</v>
      </c>
      <c r="AQ7" s="245">
        <v>496.29950730582982</v>
      </c>
      <c r="AR7" t="s">
        <v>157</v>
      </c>
    </row>
    <row r="8" spans="2:57">
      <c r="B8" s="37" t="s">
        <v>89</v>
      </c>
      <c r="C8" s="38">
        <v>18</v>
      </c>
      <c r="D8" s="39">
        <v>0.82</v>
      </c>
      <c r="E8" s="40">
        <v>5</v>
      </c>
      <c r="F8" s="41">
        <v>10</v>
      </c>
      <c r="G8" s="42">
        <v>22</v>
      </c>
      <c r="H8" s="43">
        <v>1</v>
      </c>
      <c r="I8" s="44">
        <v>1</v>
      </c>
      <c r="J8" s="44">
        <v>0</v>
      </c>
      <c r="K8" s="45">
        <v>0</v>
      </c>
      <c r="M8" s="199">
        <v>24</v>
      </c>
      <c r="N8" s="200">
        <v>1</v>
      </c>
      <c r="O8" s="199">
        <v>25</v>
      </c>
      <c r="P8" s="200">
        <v>2</v>
      </c>
      <c r="R8">
        <v>8</v>
      </c>
      <c r="S8" s="242">
        <f t="shared" si="0"/>
        <v>0.44444444444444442</v>
      </c>
      <c r="U8">
        <v>2</v>
      </c>
      <c r="W8">
        <f t="shared" si="1"/>
        <v>10</v>
      </c>
      <c r="AD8" t="s">
        <v>157</v>
      </c>
      <c r="AK8" t="s">
        <v>135</v>
      </c>
      <c r="AP8" s="245">
        <v>334.93571428571414</v>
      </c>
      <c r="AQ8" s="245">
        <v>495.77086549237697</v>
      </c>
      <c r="AR8" t="s">
        <v>135</v>
      </c>
    </row>
    <row r="9" spans="2:57">
      <c r="B9" s="46" t="s">
        <v>90</v>
      </c>
      <c r="C9" s="47">
        <v>130</v>
      </c>
      <c r="D9" s="48">
        <v>0.73</v>
      </c>
      <c r="E9" s="49">
        <v>15</v>
      </c>
      <c r="F9" s="50">
        <v>64</v>
      </c>
      <c r="G9" s="51">
        <v>178</v>
      </c>
      <c r="H9" s="52">
        <v>64</v>
      </c>
      <c r="I9" s="53">
        <v>51</v>
      </c>
      <c r="J9" s="53">
        <v>11</v>
      </c>
      <c r="K9" s="54">
        <v>2</v>
      </c>
      <c r="M9" s="199">
        <v>204</v>
      </c>
      <c r="N9" s="200">
        <f>64+11+6</f>
        <v>81</v>
      </c>
      <c r="O9" s="199">
        <v>181</v>
      </c>
      <c r="P9" s="200">
        <f>79+15+1+1</f>
        <v>96</v>
      </c>
      <c r="R9">
        <v>46</v>
      </c>
      <c r="S9" s="242">
        <f t="shared" si="0"/>
        <v>0.35384615384615387</v>
      </c>
      <c r="U9">
        <v>12</v>
      </c>
      <c r="W9">
        <f t="shared" si="1"/>
        <v>58</v>
      </c>
      <c r="AK9" t="s">
        <v>131</v>
      </c>
      <c r="AL9" t="s">
        <v>157</v>
      </c>
      <c r="AP9" s="245">
        <v>334.57857142857125</v>
      </c>
      <c r="AQ9" s="245">
        <v>495.24222367892412</v>
      </c>
      <c r="AS9" t="s">
        <v>157</v>
      </c>
      <c r="AT9" t="s">
        <v>135</v>
      </c>
    </row>
    <row r="10" spans="2:57">
      <c r="B10" s="28" t="s">
        <v>91</v>
      </c>
      <c r="C10" s="29">
        <v>7</v>
      </c>
      <c r="D10" s="30">
        <v>0.3</v>
      </c>
      <c r="E10" s="31"/>
      <c r="F10" s="32">
        <v>3</v>
      </c>
      <c r="G10" s="33">
        <v>23</v>
      </c>
      <c r="H10" s="34">
        <v>3</v>
      </c>
      <c r="I10" s="35">
        <v>3</v>
      </c>
      <c r="J10" s="35">
        <v>0</v>
      </c>
      <c r="K10" s="36">
        <v>0</v>
      </c>
      <c r="M10" s="199">
        <v>30</v>
      </c>
      <c r="N10" s="200">
        <v>1</v>
      </c>
      <c r="O10" s="199">
        <v>7</v>
      </c>
      <c r="P10" s="200">
        <v>5</v>
      </c>
      <c r="R10">
        <v>4</v>
      </c>
      <c r="S10" s="242">
        <f t="shared" si="0"/>
        <v>0.5714285714285714</v>
      </c>
      <c r="W10">
        <f t="shared" si="1"/>
        <v>4</v>
      </c>
      <c r="AP10" s="245">
        <v>334.22142857142842</v>
      </c>
      <c r="AQ10" s="245">
        <v>494.71358186547121</v>
      </c>
      <c r="AS10" t="s">
        <v>135</v>
      </c>
      <c r="AW10" t="s">
        <v>151</v>
      </c>
    </row>
    <row r="11" spans="2:57">
      <c r="B11" s="55" t="s">
        <v>35</v>
      </c>
      <c r="C11" s="56">
        <v>19</v>
      </c>
      <c r="D11" s="30">
        <v>0.9</v>
      </c>
      <c r="E11" s="31"/>
      <c r="F11" s="32">
        <v>2</v>
      </c>
      <c r="G11" s="33">
        <v>21</v>
      </c>
      <c r="H11" s="34">
        <v>2</v>
      </c>
      <c r="I11" s="35">
        <v>2</v>
      </c>
      <c r="J11" s="35">
        <v>0</v>
      </c>
      <c r="K11" s="36">
        <v>0</v>
      </c>
      <c r="M11" s="199">
        <v>29</v>
      </c>
      <c r="N11" s="200">
        <v>8</v>
      </c>
      <c r="O11" s="199">
        <v>25</v>
      </c>
      <c r="P11" s="200">
        <v>4</v>
      </c>
      <c r="R11">
        <v>6</v>
      </c>
      <c r="S11" s="242">
        <f t="shared" si="0"/>
        <v>0.31578947368421051</v>
      </c>
      <c r="W11">
        <f t="shared" si="1"/>
        <v>6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 t="s">
        <v>168</v>
      </c>
      <c r="AO11" s="1" t="s">
        <v>136</v>
      </c>
      <c r="AP11" s="248">
        <v>333.86428571428553</v>
      </c>
      <c r="AQ11" s="248">
        <v>494.18494005201836</v>
      </c>
      <c r="AR11" s="1" t="s">
        <v>138</v>
      </c>
      <c r="AS11" s="1"/>
      <c r="AT11" s="1" t="s">
        <v>144</v>
      </c>
      <c r="AU11" s="1" t="s">
        <v>135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>
      <c r="B12" s="55" t="s">
        <v>92</v>
      </c>
      <c r="C12" s="56">
        <v>18</v>
      </c>
      <c r="D12" s="30">
        <v>0.86</v>
      </c>
      <c r="E12" s="31"/>
      <c r="F12" s="32">
        <v>6</v>
      </c>
      <c r="G12" s="33">
        <v>21</v>
      </c>
      <c r="H12" s="34">
        <v>6</v>
      </c>
      <c r="I12" s="35">
        <v>6</v>
      </c>
      <c r="J12" s="35">
        <v>0</v>
      </c>
      <c r="K12" s="36">
        <v>0</v>
      </c>
      <c r="M12" s="199">
        <v>21</v>
      </c>
      <c r="N12" s="200">
        <v>6</v>
      </c>
      <c r="O12" s="199">
        <v>22</v>
      </c>
      <c r="P12" s="200">
        <v>7</v>
      </c>
      <c r="R12">
        <v>3</v>
      </c>
      <c r="S12" s="242">
        <f t="shared" si="0"/>
        <v>0.16666666666666666</v>
      </c>
      <c r="W12">
        <f t="shared" si="1"/>
        <v>3</v>
      </c>
      <c r="AO12" t="s">
        <v>139</v>
      </c>
      <c r="AP12" s="245">
        <v>333.5071428571427</v>
      </c>
      <c r="AQ12" s="245">
        <v>493.65629823856551</v>
      </c>
      <c r="AS12" t="s">
        <v>143</v>
      </c>
      <c r="AU12" t="s">
        <v>147</v>
      </c>
      <c r="AV12" t="s">
        <v>135</v>
      </c>
    </row>
    <row r="13" spans="2:57">
      <c r="B13" s="55" t="s">
        <v>93</v>
      </c>
      <c r="C13" s="56">
        <v>20</v>
      </c>
      <c r="D13" s="30">
        <v>0.77</v>
      </c>
      <c r="E13" s="31"/>
      <c r="F13" s="32">
        <v>7</v>
      </c>
      <c r="G13" s="33">
        <v>26</v>
      </c>
      <c r="H13" s="34">
        <v>7</v>
      </c>
      <c r="I13" s="35">
        <v>5</v>
      </c>
      <c r="J13" s="35">
        <v>1</v>
      </c>
      <c r="K13" s="36">
        <v>1</v>
      </c>
      <c r="M13" s="199">
        <v>28</v>
      </c>
      <c r="N13" s="200">
        <v>3</v>
      </c>
      <c r="O13" s="199">
        <v>25</v>
      </c>
      <c r="P13" s="200">
        <v>4</v>
      </c>
      <c r="R13">
        <v>1</v>
      </c>
      <c r="S13" s="242">
        <f t="shared" si="0"/>
        <v>0.05</v>
      </c>
      <c r="W13">
        <f t="shared" si="1"/>
        <v>1</v>
      </c>
      <c r="AL13" t="s">
        <v>172</v>
      </c>
      <c r="AN13" t="s">
        <v>167</v>
      </c>
      <c r="AO13" t="s">
        <v>141</v>
      </c>
      <c r="AP13" s="245">
        <v>333.14999999999981</v>
      </c>
      <c r="AQ13" s="245">
        <v>493.1276564251126</v>
      </c>
      <c r="AR13" t="s">
        <v>140</v>
      </c>
      <c r="AV13" t="s">
        <v>149</v>
      </c>
      <c r="AX13" t="s">
        <v>154</v>
      </c>
    </row>
    <row r="14" spans="2:57">
      <c r="B14" s="55" t="s">
        <v>43</v>
      </c>
      <c r="C14" s="56">
        <v>16</v>
      </c>
      <c r="D14" s="30">
        <v>0.89</v>
      </c>
      <c r="E14" s="31"/>
      <c r="F14" s="32">
        <v>1</v>
      </c>
      <c r="G14" s="33">
        <v>18</v>
      </c>
      <c r="H14" s="34">
        <v>1</v>
      </c>
      <c r="I14" s="35">
        <v>1</v>
      </c>
      <c r="J14" s="35">
        <v>0</v>
      </c>
      <c r="K14" s="36">
        <v>0</v>
      </c>
      <c r="M14" s="199">
        <v>20</v>
      </c>
      <c r="N14" s="200">
        <v>1</v>
      </c>
      <c r="O14" s="199">
        <v>18</v>
      </c>
      <c r="P14" s="200">
        <v>12</v>
      </c>
      <c r="R14">
        <v>3</v>
      </c>
      <c r="S14" s="242">
        <f t="shared" si="0"/>
        <v>0.1875</v>
      </c>
      <c r="W14">
        <f t="shared" si="1"/>
        <v>3</v>
      </c>
      <c r="AO14" s="244"/>
      <c r="AP14" s="246">
        <v>332.79285714285697</v>
      </c>
      <c r="AQ14" s="246">
        <v>492.5990146116597</v>
      </c>
      <c r="AR14" s="244"/>
      <c r="AW14" t="s">
        <v>152</v>
      </c>
      <c r="AX14" t="s">
        <v>155</v>
      </c>
    </row>
    <row r="15" spans="2:57">
      <c r="B15" s="55" t="s">
        <v>41</v>
      </c>
      <c r="C15" s="56">
        <v>13</v>
      </c>
      <c r="D15" s="30">
        <v>0.93</v>
      </c>
      <c r="E15" s="31"/>
      <c r="F15" s="32">
        <v>2</v>
      </c>
      <c r="G15" s="33">
        <v>14</v>
      </c>
      <c r="H15" s="34">
        <v>2</v>
      </c>
      <c r="I15" s="35">
        <v>2</v>
      </c>
      <c r="J15" s="35">
        <v>0</v>
      </c>
      <c r="K15" s="36">
        <v>0</v>
      </c>
      <c r="M15" s="199">
        <v>19</v>
      </c>
      <c r="N15" s="200">
        <v>7</v>
      </c>
      <c r="O15" s="199">
        <v>17</v>
      </c>
      <c r="P15" s="200">
        <v>12</v>
      </c>
      <c r="R15">
        <v>4</v>
      </c>
      <c r="S15" s="242">
        <f t="shared" si="0"/>
        <v>0.30769230769230771</v>
      </c>
      <c r="W15">
        <f t="shared" si="1"/>
        <v>4</v>
      </c>
      <c r="AO15" s="244"/>
      <c r="AP15" s="247">
        <v>332.43571428571414</v>
      </c>
      <c r="AQ15" s="247">
        <v>492.07037279820685</v>
      </c>
      <c r="AR15" s="244"/>
      <c r="AX15" t="s">
        <v>156</v>
      </c>
    </row>
    <row r="16" spans="2:57">
      <c r="B16" s="55" t="s">
        <v>94</v>
      </c>
      <c r="C16" s="56">
        <v>25</v>
      </c>
      <c r="D16" s="30">
        <v>0.74</v>
      </c>
      <c r="E16" s="31"/>
      <c r="F16" s="32">
        <v>5</v>
      </c>
      <c r="G16" s="33">
        <v>34</v>
      </c>
      <c r="H16" s="34">
        <v>5</v>
      </c>
      <c r="I16" s="35">
        <v>5</v>
      </c>
      <c r="J16" s="35">
        <v>0</v>
      </c>
      <c r="K16" s="36">
        <v>0</v>
      </c>
      <c r="M16" s="199">
        <v>40</v>
      </c>
      <c r="N16" s="200">
        <v>4</v>
      </c>
      <c r="O16" s="199">
        <v>25</v>
      </c>
      <c r="P16" s="200">
        <v>7</v>
      </c>
      <c r="R16">
        <v>4</v>
      </c>
      <c r="S16" s="242">
        <f t="shared" si="0"/>
        <v>0.16</v>
      </c>
      <c r="U16">
        <v>1</v>
      </c>
      <c r="W16">
        <f t="shared" si="1"/>
        <v>5</v>
      </c>
      <c r="AF16" t="s">
        <v>178</v>
      </c>
      <c r="AK16" t="s">
        <v>170</v>
      </c>
      <c r="AO16" s="244"/>
      <c r="AP16" s="246">
        <v>332.07857142857125</v>
      </c>
      <c r="AQ16" s="246">
        <v>491.54173098475394</v>
      </c>
      <c r="AR16" s="244"/>
    </row>
    <row r="17" spans="1:57">
      <c r="B17" s="57" t="s">
        <v>95</v>
      </c>
      <c r="C17" s="58">
        <v>37</v>
      </c>
      <c r="D17" s="59">
        <v>0.8</v>
      </c>
      <c r="E17" s="60"/>
      <c r="F17" s="61">
        <v>15</v>
      </c>
      <c r="G17" s="62">
        <v>46</v>
      </c>
      <c r="H17" s="63">
        <v>15</v>
      </c>
      <c r="I17" s="64">
        <v>11</v>
      </c>
      <c r="J17" s="64">
        <v>2</v>
      </c>
      <c r="K17" s="65">
        <v>2</v>
      </c>
      <c r="M17" s="199">
        <v>65</v>
      </c>
      <c r="N17" s="200">
        <v>11</v>
      </c>
      <c r="O17" s="199">
        <v>87</v>
      </c>
      <c r="P17" s="200">
        <v>19</v>
      </c>
      <c r="R17">
        <v>11</v>
      </c>
      <c r="S17" s="242">
        <f t="shared" si="0"/>
        <v>0.29729729729729731</v>
      </c>
      <c r="U17">
        <v>6</v>
      </c>
      <c r="W17">
        <f t="shared" si="1"/>
        <v>17</v>
      </c>
      <c r="AO17" s="244"/>
      <c r="AP17" s="246">
        <v>331.36428571428553</v>
      </c>
      <c r="AQ17" s="246">
        <v>490.48444735784824</v>
      </c>
      <c r="AR17" s="244"/>
    </row>
    <row r="18" spans="1:57" ht="17.25" thickBot="1">
      <c r="B18" s="66" t="s">
        <v>96</v>
      </c>
      <c r="C18" s="67">
        <v>17</v>
      </c>
      <c r="D18" s="68">
        <v>0.81</v>
      </c>
      <c r="E18" s="69"/>
      <c r="F18" s="70"/>
      <c r="G18" s="71">
        <v>21</v>
      </c>
      <c r="H18" s="72">
        <v>1</v>
      </c>
      <c r="I18" s="73">
        <v>1</v>
      </c>
      <c r="J18" s="73">
        <v>0</v>
      </c>
      <c r="K18" s="74">
        <v>0</v>
      </c>
      <c r="M18" s="199">
        <v>21</v>
      </c>
      <c r="N18" s="200">
        <v>4</v>
      </c>
      <c r="O18" s="199">
        <v>24</v>
      </c>
      <c r="P18" s="200">
        <v>5</v>
      </c>
      <c r="S18" s="242">
        <f t="shared" si="0"/>
        <v>0</v>
      </c>
      <c r="W18">
        <f t="shared" si="1"/>
        <v>0</v>
      </c>
      <c r="Y18">
        <f>12+9+9+7+10+9</f>
        <v>56</v>
      </c>
      <c r="Z18">
        <v>16</v>
      </c>
      <c r="AA18">
        <v>13</v>
      </c>
      <c r="AB18">
        <v>24</v>
      </c>
      <c r="AC18">
        <v>18</v>
      </c>
      <c r="AD18">
        <v>7</v>
      </c>
      <c r="AE18">
        <v>22</v>
      </c>
      <c r="AF18">
        <v>9</v>
      </c>
      <c r="AG18">
        <v>5</v>
      </c>
      <c r="AH18">
        <v>10</v>
      </c>
      <c r="AI18">
        <v>12</v>
      </c>
      <c r="AJ18">
        <v>15</v>
      </c>
      <c r="AK18">
        <v>18</v>
      </c>
      <c r="AL18">
        <v>24</v>
      </c>
      <c r="AM18">
        <v>18</v>
      </c>
      <c r="AN18">
        <v>41</v>
      </c>
      <c r="AO18">
        <v>89</v>
      </c>
      <c r="AR18">
        <v>120</v>
      </c>
      <c r="AS18">
        <v>130</v>
      </c>
      <c r="AT18">
        <v>37</v>
      </c>
      <c r="AU18">
        <v>18</v>
      </c>
      <c r="AV18">
        <v>113</v>
      </c>
      <c r="AW18">
        <v>25</v>
      </c>
      <c r="AX18">
        <v>146</v>
      </c>
      <c r="AY18">
        <v>19</v>
      </c>
      <c r="AZ18">
        <v>7</v>
      </c>
      <c r="BA18">
        <v>18</v>
      </c>
      <c r="BB18">
        <v>20</v>
      </c>
      <c r="BC18">
        <v>16</v>
      </c>
      <c r="BD18">
        <v>13</v>
      </c>
      <c r="BE18">
        <f>SUM(AR18:BD18)</f>
        <v>682</v>
      </c>
    </row>
    <row r="19" spans="1:57" ht="17.25" thickBot="1">
      <c r="B19" s="75" t="s">
        <v>97</v>
      </c>
      <c r="C19" s="76">
        <v>699</v>
      </c>
      <c r="D19" s="77">
        <v>0.76</v>
      </c>
      <c r="E19" s="78">
        <v>55</v>
      </c>
      <c r="F19" s="79">
        <v>225</v>
      </c>
      <c r="G19" s="80">
        <v>916</v>
      </c>
      <c r="H19" s="81">
        <v>245</v>
      </c>
      <c r="I19" s="82">
        <f>SUM(I5:I18)</f>
        <v>190</v>
      </c>
      <c r="J19" s="82">
        <f>SUM(J5:J18)</f>
        <v>35</v>
      </c>
      <c r="K19" s="74">
        <f>SUM(K5:K18)</f>
        <v>20</v>
      </c>
      <c r="M19" s="201">
        <f>SUM(M5:M18)</f>
        <v>1044</v>
      </c>
      <c r="N19" s="202">
        <f t="shared" ref="N19:P19" si="2">SUM(N5:N18)</f>
        <v>280</v>
      </c>
      <c r="O19" s="201">
        <f t="shared" si="2"/>
        <v>1045</v>
      </c>
      <c r="P19" s="202">
        <f t="shared" si="2"/>
        <v>343</v>
      </c>
      <c r="R19">
        <f>SUM(R5:R18)</f>
        <v>209</v>
      </c>
      <c r="S19" s="242">
        <f t="shared" si="0"/>
        <v>0.29899856938483549</v>
      </c>
      <c r="U19">
        <f>SUM(U5:U18)</f>
        <v>48</v>
      </c>
      <c r="W19">
        <f t="shared" si="1"/>
        <v>257</v>
      </c>
      <c r="Y19">
        <f>2+1+2</f>
        <v>5</v>
      </c>
      <c r="Z19">
        <v>3</v>
      </c>
      <c r="AA19">
        <v>3</v>
      </c>
      <c r="AB19">
        <v>9</v>
      </c>
      <c r="AC19">
        <v>4</v>
      </c>
      <c r="AD19">
        <v>5</v>
      </c>
      <c r="AE19">
        <v>4</v>
      </c>
      <c r="AF19">
        <v>4</v>
      </c>
      <c r="AG19">
        <v>1</v>
      </c>
      <c r="AH19">
        <v>4</v>
      </c>
      <c r="AI19">
        <v>4</v>
      </c>
      <c r="AJ19">
        <v>5</v>
      </c>
      <c r="AK19">
        <v>11</v>
      </c>
      <c r="AL19">
        <v>9</v>
      </c>
      <c r="AM19">
        <v>7</v>
      </c>
      <c r="AN19">
        <v>27</v>
      </c>
      <c r="AO19">
        <v>67</v>
      </c>
      <c r="AR19">
        <v>60</v>
      </c>
      <c r="AS19">
        <v>46</v>
      </c>
      <c r="AT19">
        <v>11</v>
      </c>
      <c r="AU19">
        <v>8</v>
      </c>
      <c r="AV19">
        <v>38</v>
      </c>
      <c r="AW19">
        <v>4</v>
      </c>
      <c r="AX19">
        <v>21</v>
      </c>
      <c r="AY19">
        <v>6</v>
      </c>
      <c r="AZ19">
        <v>4</v>
      </c>
      <c r="BA19">
        <v>3</v>
      </c>
      <c r="BB19">
        <v>1</v>
      </c>
      <c r="BC19">
        <v>3</v>
      </c>
      <c r="BD19">
        <v>4</v>
      </c>
      <c r="BE19">
        <f>SUM(AR19:BD19)</f>
        <v>209</v>
      </c>
    </row>
    <row r="20" spans="1:57">
      <c r="AO20">
        <f>+AO18-AO19</f>
        <v>22</v>
      </c>
      <c r="AR20">
        <f>+AR18-AR19</f>
        <v>60</v>
      </c>
    </row>
    <row r="22" spans="1:57" ht="18" thickBot="1">
      <c r="B22" s="143" t="s">
        <v>119</v>
      </c>
    </row>
    <row r="23" spans="1:57" ht="16.5" customHeight="1">
      <c r="B23" s="232" t="s">
        <v>70</v>
      </c>
      <c r="C23" s="5">
        <v>2012</v>
      </c>
      <c r="D23" s="6" t="s">
        <v>73</v>
      </c>
      <c r="E23" s="7" t="s">
        <v>74</v>
      </c>
      <c r="F23" s="8" t="s">
        <v>75</v>
      </c>
      <c r="G23" s="9">
        <v>2011</v>
      </c>
      <c r="H23" s="10" t="s">
        <v>76</v>
      </c>
      <c r="I23" s="234" t="s">
        <v>77</v>
      </c>
      <c r="J23" s="235"/>
      <c r="K23" s="236"/>
      <c r="M23" s="144">
        <v>2010</v>
      </c>
      <c r="N23" s="146"/>
      <c r="O23" s="145">
        <v>2009</v>
      </c>
      <c r="P23" s="146"/>
    </row>
    <row r="24" spans="1:57" ht="17.25" thickBot="1">
      <c r="B24" s="233"/>
      <c r="C24" s="11" t="s">
        <v>78</v>
      </c>
      <c r="D24" s="12" t="s">
        <v>79</v>
      </c>
      <c r="E24" s="13" t="s">
        <v>80</v>
      </c>
      <c r="F24" s="14" t="s">
        <v>81</v>
      </c>
      <c r="G24" s="15" t="s">
        <v>78</v>
      </c>
      <c r="H24" s="16" t="s">
        <v>62</v>
      </c>
      <c r="I24" s="17" t="s">
        <v>82</v>
      </c>
      <c r="J24" s="17" t="s">
        <v>83</v>
      </c>
      <c r="K24" s="18" t="s">
        <v>84</v>
      </c>
      <c r="M24" s="214" t="s">
        <v>47</v>
      </c>
      <c r="N24" s="215" t="s">
        <v>63</v>
      </c>
      <c r="O24" s="216" t="s">
        <v>47</v>
      </c>
      <c r="P24" s="215" t="s">
        <v>63</v>
      </c>
    </row>
    <row r="25" spans="1:57">
      <c r="A25" s="1"/>
      <c r="B25" s="83" t="s">
        <v>0</v>
      </c>
      <c r="C25" s="84">
        <v>24</v>
      </c>
      <c r="D25" s="85">
        <v>0.89</v>
      </c>
      <c r="E25" s="41"/>
      <c r="F25" s="86">
        <v>12</v>
      </c>
      <c r="G25" s="37">
        <v>27</v>
      </c>
      <c r="H25" s="87">
        <v>7</v>
      </c>
      <c r="I25" s="44"/>
      <c r="J25" s="44"/>
      <c r="K25" s="45"/>
      <c r="M25" s="207"/>
      <c r="N25" s="209">
        <f>15+1</f>
        <v>16</v>
      </c>
      <c r="O25" s="208"/>
      <c r="P25" s="209">
        <v>17</v>
      </c>
      <c r="R25">
        <v>9</v>
      </c>
      <c r="S25" s="242">
        <f t="shared" ref="S25:S47" si="3">+R25/C25</f>
        <v>0.375</v>
      </c>
      <c r="U25">
        <v>5</v>
      </c>
      <c r="W25">
        <f t="shared" si="1"/>
        <v>14</v>
      </c>
    </row>
    <row r="26" spans="1:57">
      <c r="B26" s="88" t="s">
        <v>13</v>
      </c>
      <c r="C26" s="31">
        <v>12</v>
      </c>
      <c r="D26" s="30">
        <v>1.0900000000000001</v>
      </c>
      <c r="E26" s="32"/>
      <c r="F26" s="89">
        <v>6</v>
      </c>
      <c r="G26" s="55">
        <v>11</v>
      </c>
      <c r="H26" s="90">
        <v>1</v>
      </c>
      <c r="I26" s="35"/>
      <c r="J26" s="35"/>
      <c r="K26" s="36"/>
      <c r="M26" s="207"/>
      <c r="N26" s="209">
        <v>2</v>
      </c>
      <c r="O26" s="208"/>
      <c r="P26" s="210"/>
      <c r="R26">
        <v>2</v>
      </c>
      <c r="S26" s="242">
        <f t="shared" si="3"/>
        <v>0.16666666666666666</v>
      </c>
      <c r="W26">
        <f t="shared" si="1"/>
        <v>2</v>
      </c>
    </row>
    <row r="27" spans="1:57">
      <c r="B27" s="88" t="s">
        <v>15</v>
      </c>
      <c r="C27" s="31">
        <v>24</v>
      </c>
      <c r="D27" s="30">
        <v>0.96</v>
      </c>
      <c r="E27" s="32"/>
      <c r="F27" s="89">
        <v>12</v>
      </c>
      <c r="G27" s="55">
        <v>25</v>
      </c>
      <c r="H27" s="90">
        <v>9</v>
      </c>
      <c r="I27" s="35"/>
      <c r="J27" s="35"/>
      <c r="K27" s="36"/>
      <c r="M27" s="207"/>
      <c r="N27" s="209">
        <v>7</v>
      </c>
      <c r="O27" s="208"/>
      <c r="P27" s="210"/>
      <c r="R27">
        <v>9</v>
      </c>
      <c r="S27" s="242">
        <f t="shared" si="3"/>
        <v>0.375</v>
      </c>
      <c r="W27">
        <f t="shared" si="1"/>
        <v>9</v>
      </c>
    </row>
    <row r="28" spans="1:57">
      <c r="B28" s="88" t="s">
        <v>17</v>
      </c>
      <c r="C28" s="31">
        <v>9</v>
      </c>
      <c r="D28" s="30">
        <v>1</v>
      </c>
      <c r="E28" s="32"/>
      <c r="F28" s="89">
        <v>4</v>
      </c>
      <c r="G28" s="55">
        <v>9</v>
      </c>
      <c r="H28" s="90">
        <v>1</v>
      </c>
      <c r="I28" s="35"/>
      <c r="J28" s="35"/>
      <c r="K28" s="36"/>
      <c r="M28" s="207"/>
      <c r="N28" s="209">
        <v>3</v>
      </c>
      <c r="O28" s="208"/>
      <c r="P28" s="210">
        <f>19+2+1</f>
        <v>22</v>
      </c>
      <c r="R28">
        <v>1</v>
      </c>
      <c r="S28" s="242">
        <f t="shared" si="3"/>
        <v>0.1111111111111111</v>
      </c>
      <c r="W28">
        <f t="shared" si="1"/>
        <v>1</v>
      </c>
    </row>
    <row r="29" spans="1:57">
      <c r="B29" s="88" t="s">
        <v>19</v>
      </c>
      <c r="C29" s="31">
        <v>9</v>
      </c>
      <c r="D29" s="30">
        <v>0.6</v>
      </c>
      <c r="E29" s="32"/>
      <c r="F29" s="89">
        <v>4</v>
      </c>
      <c r="G29" s="55">
        <v>15</v>
      </c>
      <c r="H29" s="90"/>
      <c r="I29" s="35"/>
      <c r="J29" s="35"/>
      <c r="K29" s="36"/>
      <c r="M29" s="207"/>
      <c r="N29" s="209">
        <v>2</v>
      </c>
      <c r="O29" s="208"/>
      <c r="P29" s="210"/>
      <c r="R29">
        <v>2</v>
      </c>
      <c r="S29" s="242">
        <f t="shared" si="3"/>
        <v>0.22222222222222221</v>
      </c>
      <c r="W29">
        <f t="shared" si="1"/>
        <v>2</v>
      </c>
    </row>
    <row r="30" spans="1:57">
      <c r="B30" s="88" t="s">
        <v>21</v>
      </c>
      <c r="C30" s="31">
        <v>7</v>
      </c>
      <c r="D30" s="30">
        <v>0.64</v>
      </c>
      <c r="E30" s="32"/>
      <c r="F30" s="89">
        <v>3</v>
      </c>
      <c r="G30" s="55">
        <v>11</v>
      </c>
      <c r="H30" s="90">
        <v>2</v>
      </c>
      <c r="I30" s="35"/>
      <c r="J30" s="35"/>
      <c r="K30" s="36"/>
      <c r="M30" s="207"/>
      <c r="N30" s="209"/>
      <c r="O30" s="208"/>
      <c r="P30" s="210"/>
      <c r="S30" s="242">
        <f t="shared" si="3"/>
        <v>0</v>
      </c>
      <c r="W30">
        <f t="shared" si="1"/>
        <v>0</v>
      </c>
    </row>
    <row r="31" spans="1:57">
      <c r="B31" s="88" t="s">
        <v>4</v>
      </c>
      <c r="C31" s="31">
        <v>13</v>
      </c>
      <c r="D31" s="30">
        <v>0.72</v>
      </c>
      <c r="E31" s="32"/>
      <c r="F31" s="89">
        <v>6</v>
      </c>
      <c r="G31" s="55">
        <v>18</v>
      </c>
      <c r="H31" s="90">
        <v>3</v>
      </c>
      <c r="I31" s="35"/>
      <c r="J31" s="35"/>
      <c r="K31" s="36"/>
      <c r="M31" s="207"/>
      <c r="N31" s="209">
        <v>1</v>
      </c>
      <c r="O31" s="208"/>
      <c r="P31" s="211" t="s">
        <v>118</v>
      </c>
      <c r="R31">
        <v>3</v>
      </c>
      <c r="S31" s="242">
        <f t="shared" si="3"/>
        <v>0.23076923076923078</v>
      </c>
      <c r="W31">
        <f t="shared" si="1"/>
        <v>3</v>
      </c>
    </row>
    <row r="32" spans="1:57">
      <c r="B32" s="88" t="s">
        <v>98</v>
      </c>
      <c r="C32" s="31">
        <v>16</v>
      </c>
      <c r="D32" s="30">
        <v>1.07</v>
      </c>
      <c r="E32" s="32"/>
      <c r="F32" s="89">
        <v>8</v>
      </c>
      <c r="G32" s="55">
        <v>15</v>
      </c>
      <c r="H32" s="90">
        <v>3</v>
      </c>
      <c r="I32" s="35"/>
      <c r="J32" s="35"/>
      <c r="K32" s="36"/>
      <c r="M32" s="207"/>
      <c r="N32" s="209">
        <v>2</v>
      </c>
      <c r="O32" s="208"/>
      <c r="P32" s="211"/>
      <c r="R32">
        <v>3</v>
      </c>
      <c r="S32" s="242">
        <f t="shared" si="3"/>
        <v>0.1875</v>
      </c>
      <c r="W32">
        <f t="shared" si="1"/>
        <v>3</v>
      </c>
    </row>
    <row r="33" spans="1:23">
      <c r="B33" s="88" t="s">
        <v>7</v>
      </c>
      <c r="C33" s="31">
        <v>10</v>
      </c>
      <c r="D33" s="30">
        <v>0.83</v>
      </c>
      <c r="E33" s="32"/>
      <c r="F33" s="89">
        <v>5</v>
      </c>
      <c r="G33" s="55">
        <v>12</v>
      </c>
      <c r="H33" s="90">
        <v>2</v>
      </c>
      <c r="I33" s="35"/>
      <c r="J33" s="35"/>
      <c r="K33" s="36"/>
      <c r="M33" s="207"/>
      <c r="N33" s="209">
        <v>4</v>
      </c>
      <c r="O33" s="208"/>
      <c r="P33" s="211">
        <f>13+5</f>
        <v>18</v>
      </c>
      <c r="S33" s="242">
        <f t="shared" si="3"/>
        <v>0</v>
      </c>
      <c r="W33">
        <f t="shared" si="1"/>
        <v>0</v>
      </c>
    </row>
    <row r="34" spans="1:23">
      <c r="B34" s="88" t="s">
        <v>9</v>
      </c>
      <c r="C34" s="31">
        <v>9</v>
      </c>
      <c r="D34" s="30">
        <v>1.29</v>
      </c>
      <c r="E34" s="32"/>
      <c r="F34" s="89">
        <v>4</v>
      </c>
      <c r="G34" s="55">
        <v>7</v>
      </c>
      <c r="H34" s="90">
        <v>1</v>
      </c>
      <c r="I34" s="35"/>
      <c r="J34" s="35"/>
      <c r="K34" s="36"/>
      <c r="M34" s="207"/>
      <c r="N34" s="209"/>
      <c r="O34" s="208"/>
      <c r="P34" s="211"/>
      <c r="S34" s="242">
        <f t="shared" si="3"/>
        <v>0</v>
      </c>
      <c r="W34">
        <f t="shared" si="1"/>
        <v>0</v>
      </c>
    </row>
    <row r="35" spans="1:23">
      <c r="A35" s="1"/>
      <c r="B35" s="88" t="s">
        <v>11</v>
      </c>
      <c r="C35" s="31">
        <v>7</v>
      </c>
      <c r="D35" s="30">
        <v>0.78</v>
      </c>
      <c r="E35" s="32"/>
      <c r="F35" s="89">
        <v>4</v>
      </c>
      <c r="G35" s="55">
        <v>9</v>
      </c>
      <c r="H35" s="90">
        <v>3</v>
      </c>
      <c r="I35" s="35"/>
      <c r="J35" s="35"/>
      <c r="K35" s="36"/>
      <c r="M35" s="207"/>
      <c r="N35" s="209">
        <v>3</v>
      </c>
      <c r="O35" s="208"/>
      <c r="P35" s="211"/>
      <c r="R35">
        <v>5</v>
      </c>
      <c r="S35" s="242">
        <f t="shared" si="3"/>
        <v>0.7142857142857143</v>
      </c>
      <c r="U35">
        <v>2</v>
      </c>
      <c r="W35">
        <f t="shared" si="1"/>
        <v>7</v>
      </c>
    </row>
    <row r="36" spans="1:23">
      <c r="A36" s="1"/>
      <c r="B36" s="83" t="s">
        <v>32</v>
      </c>
      <c r="C36" s="40">
        <v>41</v>
      </c>
      <c r="D36" s="39">
        <v>0.67</v>
      </c>
      <c r="E36" s="41"/>
      <c r="F36" s="86">
        <v>35</v>
      </c>
      <c r="G36" s="37">
        <v>61</v>
      </c>
      <c r="H36" s="87">
        <v>51</v>
      </c>
      <c r="I36" s="44">
        <v>34</v>
      </c>
      <c r="J36" s="44">
        <v>14</v>
      </c>
      <c r="K36" s="45">
        <v>3</v>
      </c>
      <c r="M36" s="207"/>
      <c r="N36" s="209">
        <f>38+7+5+1</f>
        <v>51</v>
      </c>
      <c r="O36" s="208"/>
      <c r="P36" s="212">
        <f>38+7</f>
        <v>45</v>
      </c>
      <c r="R36">
        <v>27</v>
      </c>
      <c r="S36" s="242">
        <f t="shared" si="3"/>
        <v>0.65853658536585369</v>
      </c>
      <c r="U36">
        <v>10</v>
      </c>
      <c r="W36">
        <f t="shared" si="1"/>
        <v>37</v>
      </c>
    </row>
    <row r="37" spans="1:23">
      <c r="A37" s="1"/>
      <c r="B37" s="83" t="s">
        <v>99</v>
      </c>
      <c r="C37" s="40">
        <v>18</v>
      </c>
      <c r="D37" s="39">
        <v>1.2</v>
      </c>
      <c r="E37" s="41"/>
      <c r="F37" s="86">
        <v>9</v>
      </c>
      <c r="G37" s="37">
        <v>15</v>
      </c>
      <c r="H37" s="87">
        <v>4</v>
      </c>
      <c r="I37" s="44"/>
      <c r="J37" s="44"/>
      <c r="K37" s="45"/>
      <c r="M37" s="207"/>
      <c r="N37" s="209">
        <v>7</v>
      </c>
      <c r="O37" s="208"/>
      <c r="P37" s="212"/>
      <c r="R37">
        <v>7</v>
      </c>
      <c r="S37" s="242">
        <f t="shared" si="3"/>
        <v>0.3888888888888889</v>
      </c>
      <c r="U37">
        <v>2</v>
      </c>
      <c r="W37">
        <f t="shared" si="1"/>
        <v>9</v>
      </c>
    </row>
    <row r="38" spans="1:23">
      <c r="A38" s="1"/>
      <c r="B38" s="91" t="s">
        <v>2</v>
      </c>
      <c r="C38" s="92">
        <v>89</v>
      </c>
      <c r="D38" s="93">
        <v>0.83</v>
      </c>
      <c r="E38" s="23">
        <v>36</v>
      </c>
      <c r="F38" s="94">
        <v>60</v>
      </c>
      <c r="G38" s="95">
        <v>107</v>
      </c>
      <c r="H38" s="96">
        <v>133</v>
      </c>
      <c r="I38" s="97">
        <v>71</v>
      </c>
      <c r="J38" s="97">
        <v>28</v>
      </c>
      <c r="K38" s="98">
        <f>+H38-I38-J38</f>
        <v>34</v>
      </c>
      <c r="M38" s="207"/>
      <c r="N38" s="209">
        <f>118+37+14+2</f>
        <v>171</v>
      </c>
      <c r="O38" s="208"/>
      <c r="P38" s="209">
        <f>72+25+10</f>
        <v>107</v>
      </c>
      <c r="R38">
        <v>67</v>
      </c>
      <c r="S38" s="242">
        <f t="shared" si="3"/>
        <v>0.7528089887640449</v>
      </c>
      <c r="T38" t="s">
        <v>131</v>
      </c>
      <c r="U38">
        <v>20</v>
      </c>
      <c r="W38">
        <f t="shared" si="1"/>
        <v>87</v>
      </c>
    </row>
    <row r="39" spans="1:23">
      <c r="A39" s="1"/>
      <c r="B39" s="88" t="s">
        <v>100</v>
      </c>
      <c r="C39" s="31">
        <v>18</v>
      </c>
      <c r="D39" s="30">
        <v>1.1299999999999999</v>
      </c>
      <c r="E39" s="32"/>
      <c r="F39" s="89"/>
      <c r="G39" s="55">
        <v>16</v>
      </c>
      <c r="H39" s="90"/>
      <c r="I39" s="35"/>
      <c r="J39" s="35"/>
      <c r="K39" s="36"/>
      <c r="M39" s="207"/>
      <c r="N39" s="209"/>
      <c r="O39" s="208"/>
      <c r="P39" s="209"/>
      <c r="R39">
        <v>4</v>
      </c>
      <c r="S39" s="242">
        <f t="shared" si="3"/>
        <v>0.22222222222222221</v>
      </c>
      <c r="W39">
        <f t="shared" si="1"/>
        <v>4</v>
      </c>
    </row>
    <row r="40" spans="1:23">
      <c r="A40" s="1"/>
      <c r="B40" s="88" t="s">
        <v>23</v>
      </c>
      <c r="C40" s="31">
        <v>18</v>
      </c>
      <c r="D40" s="30">
        <v>0.57999999999999996</v>
      </c>
      <c r="E40" s="32">
        <v>10</v>
      </c>
      <c r="F40" s="89">
        <v>15</v>
      </c>
      <c r="G40" s="55">
        <v>31</v>
      </c>
      <c r="H40" s="90">
        <v>23</v>
      </c>
      <c r="I40" s="35"/>
      <c r="J40" s="35"/>
      <c r="K40" s="36"/>
      <c r="M40" s="207"/>
      <c r="N40" s="209">
        <f>20+5+1</f>
        <v>26</v>
      </c>
      <c r="O40" s="208"/>
      <c r="P40" s="213"/>
      <c r="R40">
        <v>11</v>
      </c>
      <c r="S40" s="242">
        <f t="shared" si="3"/>
        <v>0.61111111111111116</v>
      </c>
      <c r="U40">
        <v>5</v>
      </c>
      <c r="W40">
        <f t="shared" si="1"/>
        <v>16</v>
      </c>
    </row>
    <row r="41" spans="1:23">
      <c r="A41" s="1"/>
      <c r="B41" s="88" t="s">
        <v>24</v>
      </c>
      <c r="C41" s="31">
        <v>15</v>
      </c>
      <c r="D41" s="30">
        <v>0.56000000000000005</v>
      </c>
      <c r="E41" s="32"/>
      <c r="F41" s="89">
        <v>10</v>
      </c>
      <c r="G41" s="55">
        <v>27</v>
      </c>
      <c r="H41" s="90">
        <v>6</v>
      </c>
      <c r="I41" s="35"/>
      <c r="J41" s="35"/>
      <c r="K41" s="36"/>
      <c r="M41" s="207"/>
      <c r="N41" s="209">
        <v>10</v>
      </c>
      <c r="O41" s="208"/>
      <c r="P41" s="213"/>
      <c r="R41">
        <v>5</v>
      </c>
      <c r="S41" s="242">
        <f t="shared" si="3"/>
        <v>0.33333333333333331</v>
      </c>
      <c r="U41">
        <v>2</v>
      </c>
      <c r="W41">
        <f t="shared" si="1"/>
        <v>7</v>
      </c>
    </row>
    <row r="42" spans="1:23">
      <c r="A42" s="1"/>
      <c r="B42" s="88" t="s">
        <v>101</v>
      </c>
      <c r="C42" s="31">
        <v>10</v>
      </c>
      <c r="D42" s="30">
        <v>1.1100000000000001</v>
      </c>
      <c r="E42" s="32"/>
      <c r="F42" s="89">
        <v>3</v>
      </c>
      <c r="G42" s="55">
        <v>9</v>
      </c>
      <c r="H42" s="90">
        <v>3</v>
      </c>
      <c r="I42" s="35"/>
      <c r="J42" s="35"/>
      <c r="K42" s="36"/>
      <c r="M42" s="207"/>
      <c r="N42" s="209">
        <v>2</v>
      </c>
      <c r="O42" s="208"/>
      <c r="P42" s="213">
        <f>55+5+1</f>
        <v>61</v>
      </c>
      <c r="R42">
        <v>4</v>
      </c>
      <c r="S42" s="242">
        <f t="shared" si="3"/>
        <v>0.4</v>
      </c>
      <c r="W42">
        <f t="shared" si="1"/>
        <v>4</v>
      </c>
    </row>
    <row r="43" spans="1:23">
      <c r="A43" s="1"/>
      <c r="B43" s="88" t="s">
        <v>130</v>
      </c>
      <c r="C43" s="31">
        <v>12</v>
      </c>
      <c r="D43" s="30">
        <v>1</v>
      </c>
      <c r="E43" s="32"/>
      <c r="F43" s="89">
        <v>6</v>
      </c>
      <c r="G43" s="55">
        <v>12</v>
      </c>
      <c r="H43" s="90">
        <v>2</v>
      </c>
      <c r="I43" s="35"/>
      <c r="J43" s="35"/>
      <c r="K43" s="36"/>
      <c r="M43" s="207"/>
      <c r="N43" s="209">
        <v>5</v>
      </c>
      <c r="O43" s="208"/>
      <c r="P43" s="213"/>
      <c r="R43">
        <v>4</v>
      </c>
      <c r="S43" s="242">
        <f t="shared" si="3"/>
        <v>0.33333333333333331</v>
      </c>
      <c r="W43">
        <f t="shared" si="1"/>
        <v>4</v>
      </c>
    </row>
    <row r="44" spans="1:23">
      <c r="A44" s="1"/>
      <c r="B44" s="88" t="s">
        <v>28</v>
      </c>
      <c r="C44" s="31">
        <v>5</v>
      </c>
      <c r="D44" s="30">
        <v>1.25</v>
      </c>
      <c r="E44" s="32"/>
      <c r="F44" s="89">
        <v>2</v>
      </c>
      <c r="G44" s="55">
        <v>4</v>
      </c>
      <c r="H44" s="90">
        <v>2</v>
      </c>
      <c r="I44" s="35"/>
      <c r="J44" s="35"/>
      <c r="K44" s="36"/>
      <c r="M44" s="207"/>
      <c r="N44" s="209">
        <v>2</v>
      </c>
      <c r="O44" s="208"/>
      <c r="P44" s="213"/>
      <c r="R44">
        <v>1</v>
      </c>
      <c r="S44" s="242">
        <f t="shared" si="3"/>
        <v>0.2</v>
      </c>
      <c r="W44">
        <f t="shared" si="1"/>
        <v>1</v>
      </c>
    </row>
    <row r="45" spans="1:23">
      <c r="A45" s="1"/>
      <c r="B45" s="88" t="s">
        <v>30</v>
      </c>
      <c r="C45" s="31">
        <v>9</v>
      </c>
      <c r="D45" s="30">
        <v>0.82</v>
      </c>
      <c r="E45" s="32"/>
      <c r="F45" s="89">
        <v>5</v>
      </c>
      <c r="G45" s="55">
        <v>11</v>
      </c>
      <c r="H45" s="90">
        <v>4</v>
      </c>
      <c r="I45" s="35"/>
      <c r="J45" s="35"/>
      <c r="K45" s="36"/>
      <c r="M45" s="207"/>
      <c r="N45" s="209">
        <v>8</v>
      </c>
      <c r="O45" s="208"/>
      <c r="P45" s="209">
        <v>6</v>
      </c>
      <c r="R45">
        <v>4</v>
      </c>
      <c r="S45" s="242">
        <f t="shared" si="3"/>
        <v>0.44444444444444442</v>
      </c>
      <c r="U45">
        <v>1</v>
      </c>
      <c r="W45">
        <f t="shared" si="1"/>
        <v>5</v>
      </c>
    </row>
    <row r="46" spans="1:23" ht="17.25" thickBot="1">
      <c r="A46" s="1"/>
      <c r="B46" s="99" t="s">
        <v>35</v>
      </c>
      <c r="C46" s="69">
        <v>22</v>
      </c>
      <c r="D46" s="68">
        <v>1.1599999999999999</v>
      </c>
      <c r="E46" s="70"/>
      <c r="F46" s="100">
        <v>5</v>
      </c>
      <c r="G46" s="66">
        <v>19</v>
      </c>
      <c r="H46" s="101">
        <v>3</v>
      </c>
      <c r="I46" s="73"/>
      <c r="J46" s="73"/>
      <c r="K46" s="74"/>
      <c r="M46" s="207"/>
      <c r="N46" s="209">
        <v>3</v>
      </c>
      <c r="O46" s="208"/>
      <c r="P46" s="209">
        <v>3</v>
      </c>
      <c r="R46">
        <v>4</v>
      </c>
      <c r="S46" s="242">
        <f t="shared" si="3"/>
        <v>0.18181818181818182</v>
      </c>
      <c r="W46">
        <f t="shared" si="1"/>
        <v>4</v>
      </c>
    </row>
    <row r="47" spans="1:23" ht="17.25" thickBot="1">
      <c r="B47" s="102" t="s">
        <v>102</v>
      </c>
      <c r="C47" s="78">
        <v>397</v>
      </c>
      <c r="D47" s="77">
        <v>0.84</v>
      </c>
      <c r="E47" s="79">
        <v>46</v>
      </c>
      <c r="F47" s="103">
        <v>218</v>
      </c>
      <c r="G47" s="104">
        <v>471</v>
      </c>
      <c r="H47" s="105">
        <f>SUM(H25:H46)</f>
        <v>263</v>
      </c>
      <c r="I47" s="82">
        <f>SUM(I25:I46)</f>
        <v>105</v>
      </c>
      <c r="J47" s="82">
        <f>SUM(J25:J46)</f>
        <v>42</v>
      </c>
      <c r="K47" s="106">
        <f>SUM(K25:K46)</f>
        <v>37</v>
      </c>
      <c r="M47" s="217">
        <f>SUM(M25:M46)</f>
        <v>0</v>
      </c>
      <c r="N47" s="218">
        <f>SUM(N25:N46)</f>
        <v>325</v>
      </c>
      <c r="O47" s="219">
        <f>SUM(O25:O46)</f>
        <v>0</v>
      </c>
      <c r="P47" s="218">
        <f>SUM(P25:P46)</f>
        <v>279</v>
      </c>
      <c r="R47">
        <f>SUM(R25:R46)</f>
        <v>172</v>
      </c>
      <c r="S47" s="242">
        <f t="shared" si="3"/>
        <v>0.43324937027707811</v>
      </c>
      <c r="U47">
        <f>SUM(U25:U46)</f>
        <v>47</v>
      </c>
      <c r="W47">
        <f t="shared" si="1"/>
        <v>219</v>
      </c>
    </row>
    <row r="48" spans="1:23" ht="19.5" customHeight="1">
      <c r="W48" t="s">
        <v>131</v>
      </c>
    </row>
    <row r="49" spans="2:23" ht="19.5" customHeight="1">
      <c r="B49" s="174" t="s">
        <v>121</v>
      </c>
      <c r="C49" s="175"/>
      <c r="D49" s="176"/>
      <c r="E49" s="176"/>
      <c r="F49" s="176"/>
      <c r="G49" s="176"/>
      <c r="H49" s="223">
        <f>+H19+H47</f>
        <v>508</v>
      </c>
      <c r="I49" s="176" t="s">
        <v>118</v>
      </c>
      <c r="J49" s="176" t="s">
        <v>118</v>
      </c>
      <c r="K49" s="176" t="s">
        <v>118</v>
      </c>
      <c r="L49" s="176" t="s">
        <v>118</v>
      </c>
      <c r="M49" s="220">
        <f t="shared" ref="M49:P49" si="4">+M19+M47</f>
        <v>1044</v>
      </c>
      <c r="N49" s="221">
        <f t="shared" si="4"/>
        <v>605</v>
      </c>
      <c r="O49" s="221">
        <f t="shared" si="4"/>
        <v>1045</v>
      </c>
      <c r="P49" s="222">
        <f t="shared" si="4"/>
        <v>622</v>
      </c>
      <c r="R49">
        <f>+R19+R47</f>
        <v>381</v>
      </c>
      <c r="U49">
        <f>+U19+U47</f>
        <v>95</v>
      </c>
      <c r="W49">
        <f t="shared" si="1"/>
        <v>476</v>
      </c>
    </row>
    <row r="50" spans="2:23" ht="19.5" customHeight="1"/>
    <row r="51" spans="2:23" ht="18" thickBot="1">
      <c r="B51" s="143" t="s">
        <v>120</v>
      </c>
    </row>
    <row r="52" spans="2:23" s="150" customFormat="1" ht="16.5" customHeight="1">
      <c r="B52" s="230" t="s">
        <v>70</v>
      </c>
      <c r="C52" s="151">
        <v>2012</v>
      </c>
      <c r="D52" s="155" t="s">
        <v>73</v>
      </c>
      <c r="E52" s="165" t="s">
        <v>87</v>
      </c>
      <c r="F52" s="166" t="s">
        <v>103</v>
      </c>
      <c r="G52" s="167" t="s">
        <v>104</v>
      </c>
      <c r="H52" s="155">
        <v>2011</v>
      </c>
      <c r="I52" s="237" t="s">
        <v>105</v>
      </c>
      <c r="J52" s="238"/>
      <c r="K52" s="238"/>
      <c r="L52" s="226">
        <v>2011</v>
      </c>
      <c r="M52" s="226"/>
      <c r="N52" s="226">
        <v>2010</v>
      </c>
      <c r="O52" s="226"/>
      <c r="P52" s="226">
        <v>2009</v>
      </c>
    </row>
    <row r="53" spans="2:23" s="150" customFormat="1" ht="17.25" thickBot="1">
      <c r="B53" s="231"/>
      <c r="C53" s="168" t="s">
        <v>78</v>
      </c>
      <c r="D53" s="169" t="s">
        <v>79</v>
      </c>
      <c r="E53" s="170" t="s">
        <v>106</v>
      </c>
      <c r="F53" s="171" t="s">
        <v>107</v>
      </c>
      <c r="G53" s="172" t="s">
        <v>108</v>
      </c>
      <c r="H53" s="161" t="s">
        <v>78</v>
      </c>
      <c r="I53" s="173">
        <v>2011</v>
      </c>
      <c r="J53" s="163">
        <v>2012</v>
      </c>
      <c r="K53" s="225" t="s">
        <v>109</v>
      </c>
      <c r="L53" s="227" t="s">
        <v>63</v>
      </c>
      <c r="M53" s="226"/>
      <c r="N53" s="226" t="s">
        <v>63</v>
      </c>
      <c r="O53" s="226"/>
      <c r="P53" s="226" t="s">
        <v>63</v>
      </c>
    </row>
    <row r="54" spans="2:23">
      <c r="B54" s="107" t="s">
        <v>110</v>
      </c>
      <c r="C54" s="107">
        <v>57</v>
      </c>
      <c r="D54" s="108">
        <v>0.93</v>
      </c>
      <c r="E54" s="109">
        <v>12</v>
      </c>
      <c r="F54" s="110">
        <v>45</v>
      </c>
      <c r="G54" s="111">
        <v>0.79</v>
      </c>
      <c r="H54" s="112">
        <v>61</v>
      </c>
      <c r="I54" s="113">
        <v>266</v>
      </c>
      <c r="J54" s="114">
        <v>148</v>
      </c>
      <c r="K54" s="112">
        <v>118</v>
      </c>
      <c r="L54" s="228">
        <v>4</v>
      </c>
      <c r="M54" s="228"/>
      <c r="N54" s="228">
        <v>3</v>
      </c>
      <c r="O54" s="228"/>
      <c r="P54" s="228">
        <v>0</v>
      </c>
    </row>
    <row r="55" spans="2:23">
      <c r="B55" s="107" t="s">
        <v>111</v>
      </c>
      <c r="C55" s="107">
        <v>50</v>
      </c>
      <c r="D55" s="108">
        <v>1.02</v>
      </c>
      <c r="E55" s="109">
        <v>10</v>
      </c>
      <c r="F55" s="110">
        <v>40</v>
      </c>
      <c r="G55" s="111">
        <v>0.8</v>
      </c>
      <c r="H55" s="112">
        <v>49</v>
      </c>
      <c r="I55" s="113">
        <v>194</v>
      </c>
      <c r="J55" s="114">
        <v>138</v>
      </c>
      <c r="K55" s="112">
        <v>56</v>
      </c>
      <c r="L55" s="228">
        <v>2</v>
      </c>
      <c r="M55" s="228"/>
      <c r="N55" s="228">
        <v>2</v>
      </c>
      <c r="O55" s="228"/>
      <c r="P55" s="228">
        <v>2</v>
      </c>
    </row>
    <row r="56" spans="2:23">
      <c r="B56" s="115" t="s">
        <v>112</v>
      </c>
      <c r="C56" s="115">
        <v>143</v>
      </c>
      <c r="D56" s="116">
        <v>0.98</v>
      </c>
      <c r="E56" s="117">
        <v>37</v>
      </c>
      <c r="F56" s="97">
        <v>106</v>
      </c>
      <c r="G56" s="118">
        <v>0.74</v>
      </c>
      <c r="H56" s="119">
        <v>146</v>
      </c>
      <c r="I56" s="120">
        <v>607</v>
      </c>
      <c r="J56" s="121">
        <v>349</v>
      </c>
      <c r="K56" s="119">
        <v>258</v>
      </c>
      <c r="L56" s="228">
        <v>5</v>
      </c>
      <c r="M56" s="228"/>
      <c r="N56" s="228">
        <v>4</v>
      </c>
      <c r="O56" s="228"/>
      <c r="P56" s="228">
        <v>3</v>
      </c>
    </row>
    <row r="57" spans="2:23">
      <c r="B57" s="122" t="s">
        <v>113</v>
      </c>
      <c r="C57" s="122">
        <v>23</v>
      </c>
      <c r="D57" s="123">
        <v>0.96</v>
      </c>
      <c r="E57" s="124">
        <v>4</v>
      </c>
      <c r="F57" s="125">
        <v>19</v>
      </c>
      <c r="G57" s="126">
        <v>0.83</v>
      </c>
      <c r="H57" s="33">
        <v>24</v>
      </c>
      <c r="I57" s="127">
        <v>160</v>
      </c>
      <c r="J57" s="35">
        <v>90</v>
      </c>
      <c r="K57" s="33">
        <v>70</v>
      </c>
      <c r="L57" s="228">
        <v>3</v>
      </c>
      <c r="M57" s="228"/>
      <c r="N57" s="228">
        <v>1</v>
      </c>
      <c r="O57" s="228"/>
      <c r="P57" s="228"/>
    </row>
    <row r="58" spans="2:23">
      <c r="B58" s="115" t="s">
        <v>2</v>
      </c>
      <c r="C58" s="115">
        <v>42</v>
      </c>
      <c r="D58" s="116">
        <v>0.93</v>
      </c>
      <c r="E58" s="117">
        <v>17</v>
      </c>
      <c r="F58" s="97">
        <v>25</v>
      </c>
      <c r="G58" s="118">
        <v>0.6</v>
      </c>
      <c r="H58" s="119">
        <v>45</v>
      </c>
      <c r="I58" s="120">
        <v>209</v>
      </c>
      <c r="J58" s="121">
        <v>127</v>
      </c>
      <c r="K58" s="119">
        <v>82</v>
      </c>
      <c r="L58" s="228">
        <v>0</v>
      </c>
      <c r="M58" s="228"/>
      <c r="N58" s="228">
        <v>2</v>
      </c>
      <c r="O58" s="228"/>
      <c r="P58" s="228">
        <v>1</v>
      </c>
    </row>
    <row r="59" spans="2:23">
      <c r="B59" s="107" t="s">
        <v>52</v>
      </c>
      <c r="C59" s="107">
        <v>27</v>
      </c>
      <c r="D59" s="108">
        <v>1.04</v>
      </c>
      <c r="E59" s="109">
        <v>7</v>
      </c>
      <c r="F59" s="110">
        <v>20</v>
      </c>
      <c r="G59" s="111">
        <v>0.74</v>
      </c>
      <c r="H59" s="112">
        <v>26</v>
      </c>
      <c r="I59" s="113">
        <v>125</v>
      </c>
      <c r="J59" s="114">
        <v>99</v>
      </c>
      <c r="K59" s="112">
        <v>26</v>
      </c>
      <c r="L59" s="228">
        <v>0</v>
      </c>
      <c r="M59" s="228"/>
      <c r="N59" s="228">
        <v>1</v>
      </c>
      <c r="O59" s="228"/>
      <c r="P59" s="228">
        <v>1</v>
      </c>
    </row>
    <row r="60" spans="2:23">
      <c r="B60" s="122" t="s">
        <v>35</v>
      </c>
      <c r="C60" s="122">
        <v>8</v>
      </c>
      <c r="D60" s="128" t="s">
        <v>104</v>
      </c>
      <c r="E60" s="124">
        <v>1</v>
      </c>
      <c r="F60" s="125">
        <v>7</v>
      </c>
      <c r="G60" s="126">
        <v>0.88</v>
      </c>
      <c r="H60" s="33"/>
      <c r="I60" s="127"/>
      <c r="J60" s="35">
        <v>25</v>
      </c>
      <c r="K60" s="33">
        <v>-25</v>
      </c>
      <c r="L60" s="228"/>
      <c r="M60" s="228"/>
      <c r="N60" s="228"/>
      <c r="O60" s="228"/>
      <c r="P60" s="228"/>
    </row>
    <row r="61" spans="2:23">
      <c r="B61" s="122" t="s">
        <v>4</v>
      </c>
      <c r="C61" s="122">
        <v>20</v>
      </c>
      <c r="D61" s="123">
        <v>1</v>
      </c>
      <c r="E61" s="124">
        <v>4</v>
      </c>
      <c r="F61" s="125">
        <v>16</v>
      </c>
      <c r="G61" s="126">
        <v>0.8</v>
      </c>
      <c r="H61" s="33">
        <v>20</v>
      </c>
      <c r="I61" s="127">
        <v>112</v>
      </c>
      <c r="J61" s="35">
        <v>80</v>
      </c>
      <c r="K61" s="33">
        <v>32</v>
      </c>
      <c r="L61" s="228"/>
      <c r="M61" s="228"/>
      <c r="N61" s="228"/>
      <c r="O61" s="228"/>
      <c r="P61" s="228"/>
    </row>
    <row r="62" spans="2:23">
      <c r="B62" s="122" t="s">
        <v>56</v>
      </c>
      <c r="C62" s="122">
        <v>30</v>
      </c>
      <c r="D62" s="123">
        <v>0.97</v>
      </c>
      <c r="E62" s="124">
        <v>2</v>
      </c>
      <c r="F62" s="125">
        <v>28</v>
      </c>
      <c r="G62" s="126">
        <v>0.93</v>
      </c>
      <c r="H62" s="33">
        <v>31</v>
      </c>
      <c r="I62" s="127">
        <v>156</v>
      </c>
      <c r="J62" s="35">
        <v>118</v>
      </c>
      <c r="K62" s="33">
        <v>38</v>
      </c>
      <c r="L62" s="228">
        <v>4</v>
      </c>
      <c r="M62" s="228"/>
      <c r="N62" s="228">
        <v>5</v>
      </c>
      <c r="O62" s="228"/>
      <c r="P62" s="228"/>
    </row>
    <row r="63" spans="2:23">
      <c r="B63" s="122" t="s">
        <v>114</v>
      </c>
      <c r="C63" s="122">
        <v>33</v>
      </c>
      <c r="D63" s="123">
        <v>0.97</v>
      </c>
      <c r="E63" s="124">
        <v>3</v>
      </c>
      <c r="F63" s="125">
        <v>30</v>
      </c>
      <c r="G63" s="126">
        <v>0.91</v>
      </c>
      <c r="H63" s="33">
        <v>34</v>
      </c>
      <c r="I63" s="127">
        <v>224</v>
      </c>
      <c r="J63" s="35">
        <v>132</v>
      </c>
      <c r="K63" s="33">
        <v>92</v>
      </c>
      <c r="L63" s="228">
        <v>5</v>
      </c>
      <c r="M63" s="228"/>
      <c r="N63" s="228"/>
      <c r="O63" s="228"/>
      <c r="P63" s="228">
        <v>2</v>
      </c>
    </row>
    <row r="64" spans="2:23">
      <c r="B64" s="122" t="s">
        <v>54</v>
      </c>
      <c r="C64" s="122">
        <v>13</v>
      </c>
      <c r="D64" s="123">
        <v>0.93</v>
      </c>
      <c r="E64" s="124">
        <v>1</v>
      </c>
      <c r="F64" s="125">
        <v>12</v>
      </c>
      <c r="G64" s="126">
        <v>0.92</v>
      </c>
      <c r="H64" s="33">
        <v>14</v>
      </c>
      <c r="I64" s="127">
        <v>58</v>
      </c>
      <c r="J64" s="35">
        <v>75</v>
      </c>
      <c r="K64" s="33">
        <v>-17</v>
      </c>
      <c r="L64" s="228">
        <v>0</v>
      </c>
      <c r="M64" s="228"/>
      <c r="N64" s="228"/>
      <c r="O64" s="228"/>
      <c r="P64" s="228">
        <v>1</v>
      </c>
    </row>
    <row r="65" spans="2:16">
      <c r="B65" s="122" t="s">
        <v>115</v>
      </c>
      <c r="C65" s="122">
        <v>24</v>
      </c>
      <c r="D65" s="123">
        <v>1</v>
      </c>
      <c r="E65" s="124">
        <v>1</v>
      </c>
      <c r="F65" s="125">
        <v>23</v>
      </c>
      <c r="G65" s="126">
        <v>0.96</v>
      </c>
      <c r="H65" s="33">
        <v>24</v>
      </c>
      <c r="I65" s="127">
        <v>137</v>
      </c>
      <c r="J65" s="35">
        <v>133</v>
      </c>
      <c r="K65" s="33">
        <v>4</v>
      </c>
      <c r="L65" s="228">
        <v>1</v>
      </c>
      <c r="M65" s="228"/>
      <c r="N65" s="228"/>
      <c r="O65" s="228"/>
      <c r="P65" s="228">
        <v>1</v>
      </c>
    </row>
    <row r="66" spans="2:16" ht="17.25" thickBot="1">
      <c r="B66" s="129" t="s">
        <v>60</v>
      </c>
      <c r="C66" s="129">
        <v>28</v>
      </c>
      <c r="D66" s="130">
        <v>1</v>
      </c>
      <c r="E66" s="131">
        <v>7</v>
      </c>
      <c r="F66" s="132">
        <v>21</v>
      </c>
      <c r="G66" s="133">
        <v>0.75</v>
      </c>
      <c r="H66" s="134">
        <v>28</v>
      </c>
      <c r="I66" s="135">
        <v>110</v>
      </c>
      <c r="J66" s="136">
        <v>129</v>
      </c>
      <c r="K66" s="134">
        <v>-19</v>
      </c>
      <c r="L66" s="228">
        <v>2</v>
      </c>
      <c r="M66" s="228"/>
      <c r="N66" s="228">
        <v>2</v>
      </c>
      <c r="O66" s="228"/>
      <c r="P66" s="228">
        <v>2</v>
      </c>
    </row>
    <row r="67" spans="2:16" ht="17.25" thickBot="1">
      <c r="B67" s="137" t="s">
        <v>65</v>
      </c>
      <c r="C67" s="137">
        <v>498</v>
      </c>
      <c r="D67" s="138">
        <v>0.99</v>
      </c>
      <c r="E67" s="139">
        <v>106</v>
      </c>
      <c r="F67" s="140">
        <v>392</v>
      </c>
      <c r="G67" s="141">
        <v>0.79</v>
      </c>
      <c r="H67" s="71">
        <v>502</v>
      </c>
      <c r="I67" s="142">
        <v>2358</v>
      </c>
      <c r="J67" s="73">
        <v>1643</v>
      </c>
      <c r="K67" s="71">
        <v>715</v>
      </c>
      <c r="L67" s="229">
        <f>SUM(L54:L66)</f>
        <v>26</v>
      </c>
      <c r="M67" s="229"/>
      <c r="N67" s="229">
        <f>SUM(N54:N66)</f>
        <v>20</v>
      </c>
      <c r="O67" s="229" t="s">
        <v>118</v>
      </c>
      <c r="P67" s="229">
        <f t="shared" ref="P67" si="5">SUM(P54:P66)</f>
        <v>13</v>
      </c>
    </row>
    <row r="70" spans="2:16" ht="17.25">
      <c r="B70" s="143" t="s">
        <v>125</v>
      </c>
    </row>
    <row r="71" spans="2:16" ht="9" customHeight="1"/>
    <row r="72" spans="2:16">
      <c r="B72" s="189" t="s">
        <v>71</v>
      </c>
      <c r="C72" s="190" t="s">
        <v>128</v>
      </c>
      <c r="D72" s="191">
        <v>2011</v>
      </c>
      <c r="E72" s="191">
        <v>2010</v>
      </c>
      <c r="F72" s="192">
        <v>2009</v>
      </c>
    </row>
    <row r="73" spans="2:16">
      <c r="B73" s="177" t="s">
        <v>122</v>
      </c>
      <c r="C73" s="180">
        <v>498</v>
      </c>
      <c r="D73" s="181">
        <v>502</v>
      </c>
      <c r="E73" s="181">
        <v>525</v>
      </c>
      <c r="F73" s="182">
        <v>516</v>
      </c>
    </row>
    <row r="74" spans="2:16">
      <c r="B74" s="178" t="s">
        <v>123</v>
      </c>
      <c r="C74" s="183">
        <f>+F38</f>
        <v>60</v>
      </c>
      <c r="D74" s="184">
        <v>132</v>
      </c>
      <c r="E74" s="184">
        <v>173</v>
      </c>
      <c r="F74" s="185">
        <v>108</v>
      </c>
      <c r="H74" s="224">
        <v>90</v>
      </c>
      <c r="I74" s="224">
        <v>0</v>
      </c>
      <c r="J74" s="224">
        <v>34</v>
      </c>
    </row>
    <row r="75" spans="2:16">
      <c r="B75" s="179" t="s">
        <v>124</v>
      </c>
      <c r="C75" s="186">
        <f>+F5</f>
        <v>60</v>
      </c>
      <c r="D75" s="187">
        <v>79</v>
      </c>
      <c r="E75" s="187">
        <v>115</v>
      </c>
      <c r="F75" s="188">
        <v>120</v>
      </c>
      <c r="H75" s="224">
        <v>90</v>
      </c>
      <c r="I75" s="224">
        <v>30</v>
      </c>
      <c r="J75" s="224">
        <v>20</v>
      </c>
    </row>
    <row r="76" spans="2:16">
      <c r="B76" s="193" t="s">
        <v>126</v>
      </c>
      <c r="C76" s="194">
        <f>+C74+C75</f>
        <v>120</v>
      </c>
      <c r="D76" s="195">
        <f t="shared" ref="D76:F76" si="6">+D74+D75</f>
        <v>211</v>
      </c>
      <c r="E76" s="195">
        <f t="shared" si="6"/>
        <v>288</v>
      </c>
      <c r="F76" s="196">
        <f t="shared" si="6"/>
        <v>228</v>
      </c>
      <c r="H76">
        <f>+H75*0.7</f>
        <v>62.999999999999993</v>
      </c>
      <c r="I76">
        <v>15</v>
      </c>
      <c r="J76">
        <v>6</v>
      </c>
    </row>
    <row r="77" spans="2:16" ht="6.75" customHeight="1">
      <c r="D77" t="s">
        <v>116</v>
      </c>
    </row>
    <row r="78" spans="2:16" s="150" customFormat="1">
      <c r="B78" s="198" t="s">
        <v>127</v>
      </c>
      <c r="C78" s="197">
        <f>+F19+F47</f>
        <v>443</v>
      </c>
      <c r="D78" s="197">
        <f>+H49</f>
        <v>508</v>
      </c>
      <c r="E78" s="197">
        <f>+N49</f>
        <v>605</v>
      </c>
      <c r="F78" s="197">
        <f>+P49</f>
        <v>622</v>
      </c>
    </row>
  </sheetData>
  <mergeCells count="6">
    <mergeCell ref="B3:B4"/>
    <mergeCell ref="B23:B24"/>
    <mergeCell ref="I23:K23"/>
    <mergeCell ref="B52:B53"/>
    <mergeCell ref="I52:K52"/>
    <mergeCell ref="I3:K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66"/>
  <sheetViews>
    <sheetView topLeftCell="A28" workbookViewId="0">
      <selection activeCell="F15" sqref="F15"/>
    </sheetView>
  </sheetViews>
  <sheetFormatPr defaultRowHeight="16.5"/>
  <cols>
    <col min="1" max="1" width="5.125" customWidth="1"/>
    <col min="2" max="4" width="9.25" customWidth="1"/>
    <col min="5" max="10" width="8.125" customWidth="1"/>
  </cols>
  <sheetData>
    <row r="2" spans="2:10">
      <c r="B2" t="s">
        <v>67</v>
      </c>
    </row>
    <row r="3" spans="2:10">
      <c r="B3" t="s">
        <v>71</v>
      </c>
      <c r="C3">
        <v>2012</v>
      </c>
      <c r="E3">
        <v>2011</v>
      </c>
      <c r="G3">
        <v>2010</v>
      </c>
      <c r="I3">
        <v>2009</v>
      </c>
    </row>
    <row r="4" spans="2:10">
      <c r="C4" t="s">
        <v>47</v>
      </c>
      <c r="D4" t="s">
        <v>63</v>
      </c>
      <c r="E4" t="s">
        <v>47</v>
      </c>
      <c r="F4" t="s">
        <v>63</v>
      </c>
      <c r="G4" t="s">
        <v>47</v>
      </c>
      <c r="H4" t="s">
        <v>63</v>
      </c>
      <c r="I4" t="s">
        <v>47</v>
      </c>
      <c r="J4" t="s">
        <v>63</v>
      </c>
    </row>
    <row r="5" spans="2:10">
      <c r="B5" t="s">
        <v>49</v>
      </c>
      <c r="F5">
        <v>4</v>
      </c>
      <c r="H5">
        <v>3</v>
      </c>
      <c r="J5">
        <v>0</v>
      </c>
    </row>
    <row r="6" spans="2:10">
      <c r="B6" t="s">
        <v>50</v>
      </c>
      <c r="F6">
        <v>2</v>
      </c>
      <c r="H6">
        <v>2</v>
      </c>
      <c r="J6">
        <v>2</v>
      </c>
    </row>
    <row r="7" spans="2:10">
      <c r="B7" t="s">
        <v>51</v>
      </c>
      <c r="F7">
        <v>5</v>
      </c>
      <c r="H7">
        <v>4</v>
      </c>
      <c r="J7">
        <v>3</v>
      </c>
    </row>
    <row r="8" spans="2:10">
      <c r="B8" t="s">
        <v>44</v>
      </c>
      <c r="F8">
        <v>3</v>
      </c>
      <c r="H8">
        <v>1</v>
      </c>
    </row>
    <row r="9" spans="2:10">
      <c r="B9" t="s">
        <v>3</v>
      </c>
      <c r="F9">
        <v>0</v>
      </c>
      <c r="H9">
        <v>2</v>
      </c>
      <c r="J9">
        <v>1</v>
      </c>
    </row>
    <row r="10" spans="2:10">
      <c r="B10" t="s">
        <v>53</v>
      </c>
      <c r="F10">
        <v>0</v>
      </c>
      <c r="H10">
        <v>1</v>
      </c>
      <c r="J10">
        <v>1</v>
      </c>
    </row>
    <row r="11" spans="2:10">
      <c r="B11" t="s">
        <v>55</v>
      </c>
      <c r="F11">
        <v>0</v>
      </c>
      <c r="J11">
        <v>1</v>
      </c>
    </row>
    <row r="12" spans="2:10">
      <c r="B12" t="s">
        <v>5</v>
      </c>
    </row>
    <row r="13" spans="2:10">
      <c r="B13" t="s">
        <v>57</v>
      </c>
      <c r="F13">
        <v>4</v>
      </c>
      <c r="H13">
        <v>5</v>
      </c>
    </row>
    <row r="14" spans="2:10">
      <c r="B14" t="s">
        <v>58</v>
      </c>
      <c r="F14">
        <v>5</v>
      </c>
      <c r="J14">
        <v>2</v>
      </c>
    </row>
    <row r="15" spans="2:10">
      <c r="B15" t="s">
        <v>59</v>
      </c>
      <c r="F15">
        <v>1</v>
      </c>
      <c r="J15">
        <v>1</v>
      </c>
    </row>
    <row r="16" spans="2:10">
      <c r="B16" t="s">
        <v>61</v>
      </c>
      <c r="F16">
        <v>2</v>
      </c>
      <c r="H16">
        <v>2</v>
      </c>
      <c r="J16">
        <v>2</v>
      </c>
    </row>
    <row r="17" spans="2:10">
      <c r="B17" t="s">
        <v>66</v>
      </c>
      <c r="C17">
        <f>SUM(C5:C16)</f>
        <v>0</v>
      </c>
      <c r="D17">
        <f>SUM(D5:D16)</f>
        <v>0</v>
      </c>
      <c r="E17">
        <f>SUM(E5:E16)</f>
        <v>0</v>
      </c>
      <c r="F17">
        <f t="shared" ref="F17:J17" si="0">SUM(F5:F16)</f>
        <v>26</v>
      </c>
      <c r="G17">
        <f t="shared" si="0"/>
        <v>0</v>
      </c>
      <c r="H17">
        <f t="shared" si="0"/>
        <v>20</v>
      </c>
      <c r="I17">
        <f t="shared" si="0"/>
        <v>0</v>
      </c>
      <c r="J17">
        <f t="shared" si="0"/>
        <v>13</v>
      </c>
    </row>
    <row r="20" spans="2:10">
      <c r="B20" t="s">
        <v>68</v>
      </c>
    </row>
    <row r="21" spans="2:10">
      <c r="B21" s="144" t="s">
        <v>71</v>
      </c>
      <c r="C21" s="145">
        <v>2012</v>
      </c>
      <c r="D21" s="145"/>
      <c r="E21" s="145">
        <v>2011</v>
      </c>
      <c r="F21" s="145"/>
      <c r="G21" s="145">
        <v>2010</v>
      </c>
      <c r="H21" s="145"/>
      <c r="I21" s="145">
        <v>2009</v>
      </c>
      <c r="J21" s="146"/>
    </row>
    <row r="22" spans="2:10">
      <c r="B22" s="147"/>
      <c r="C22" s="148" t="s">
        <v>47</v>
      </c>
      <c r="D22" s="148" t="s">
        <v>63</v>
      </c>
      <c r="E22" s="148" t="s">
        <v>47</v>
      </c>
      <c r="F22" s="148" t="s">
        <v>63</v>
      </c>
      <c r="G22" s="148" t="s">
        <v>47</v>
      </c>
      <c r="H22" s="148" t="s">
        <v>63</v>
      </c>
      <c r="I22" s="148" t="s">
        <v>47</v>
      </c>
      <c r="J22" s="149" t="s">
        <v>63</v>
      </c>
    </row>
    <row r="23" spans="2:10">
      <c r="B23" t="s">
        <v>1</v>
      </c>
      <c r="E23">
        <v>27</v>
      </c>
      <c r="F23">
        <f>4+3</f>
        <v>7</v>
      </c>
      <c r="H23">
        <f>15+1</f>
        <v>16</v>
      </c>
      <c r="J23">
        <v>17</v>
      </c>
    </row>
    <row r="24" spans="2:10">
      <c r="B24" t="s">
        <v>3</v>
      </c>
      <c r="E24">
        <v>107</v>
      </c>
      <c r="F24">
        <f>71+28+11+13</f>
        <v>123</v>
      </c>
      <c r="H24">
        <f>118+37+14+2</f>
        <v>171</v>
      </c>
      <c r="J24">
        <f>72+25+10</f>
        <v>107</v>
      </c>
    </row>
    <row r="25" spans="2:10">
      <c r="B25" t="s">
        <v>5</v>
      </c>
      <c r="E25">
        <v>18</v>
      </c>
      <c r="F25">
        <v>3</v>
      </c>
      <c r="H25">
        <v>1</v>
      </c>
      <c r="J25" s="1"/>
    </row>
    <row r="26" spans="2:10">
      <c r="B26" t="s">
        <v>6</v>
      </c>
      <c r="E26">
        <v>15</v>
      </c>
      <c r="F26">
        <v>3</v>
      </c>
      <c r="H26">
        <v>2</v>
      </c>
      <c r="J26" s="1"/>
    </row>
    <row r="27" spans="2:10">
      <c r="B27" t="s">
        <v>8</v>
      </c>
      <c r="E27">
        <v>12</v>
      </c>
      <c r="F27">
        <v>2</v>
      </c>
      <c r="H27">
        <v>4</v>
      </c>
      <c r="J27" s="1">
        <f>13+5</f>
        <v>18</v>
      </c>
    </row>
    <row r="28" spans="2:10">
      <c r="B28" t="s">
        <v>10</v>
      </c>
      <c r="E28">
        <v>7</v>
      </c>
      <c r="F28">
        <v>1</v>
      </c>
      <c r="J28" s="1"/>
    </row>
    <row r="29" spans="2:10">
      <c r="B29" t="s">
        <v>12</v>
      </c>
      <c r="E29">
        <v>9</v>
      </c>
      <c r="F29">
        <v>3</v>
      </c>
      <c r="H29">
        <v>3</v>
      </c>
      <c r="J29" s="1"/>
    </row>
    <row r="30" spans="2:10">
      <c r="B30" t="s">
        <v>14</v>
      </c>
      <c r="E30">
        <v>11</v>
      </c>
      <c r="F30">
        <v>1</v>
      </c>
      <c r="H30">
        <v>2</v>
      </c>
      <c r="J30" s="2"/>
    </row>
    <row r="31" spans="2:10">
      <c r="B31" t="s">
        <v>16</v>
      </c>
      <c r="E31">
        <v>25</v>
      </c>
      <c r="F31">
        <f>4+5</f>
        <v>9</v>
      </c>
      <c r="H31">
        <v>7</v>
      </c>
      <c r="J31" s="2"/>
    </row>
    <row r="32" spans="2:10">
      <c r="B32" t="s">
        <v>18</v>
      </c>
      <c r="E32">
        <v>9</v>
      </c>
      <c r="F32">
        <v>1</v>
      </c>
      <c r="H32">
        <v>3</v>
      </c>
      <c r="J32" s="2">
        <f>19+2+1</f>
        <v>22</v>
      </c>
    </row>
    <row r="33" spans="2:10">
      <c r="B33" t="s">
        <v>20</v>
      </c>
      <c r="E33">
        <v>15</v>
      </c>
      <c r="H33">
        <v>2</v>
      </c>
      <c r="J33" s="2"/>
    </row>
    <row r="34" spans="2:10">
      <c r="B34" t="s">
        <v>22</v>
      </c>
      <c r="E34">
        <v>11</v>
      </c>
      <c r="F34">
        <v>2</v>
      </c>
      <c r="J34" s="2"/>
    </row>
    <row r="35" spans="2:10">
      <c r="B35" t="s">
        <v>23</v>
      </c>
      <c r="E35">
        <v>31</v>
      </c>
      <c r="F35">
        <f>17+4+2</f>
        <v>23</v>
      </c>
      <c r="H35">
        <f>20+5+1</f>
        <v>26</v>
      </c>
      <c r="J35" s="3"/>
    </row>
    <row r="36" spans="2:10">
      <c r="B36" t="s">
        <v>25</v>
      </c>
      <c r="E36">
        <v>27</v>
      </c>
      <c r="F36">
        <v>6</v>
      </c>
      <c r="H36">
        <v>10</v>
      </c>
      <c r="J36" s="3"/>
    </row>
    <row r="37" spans="2:10">
      <c r="B37" t="s">
        <v>26</v>
      </c>
      <c r="E37">
        <v>12</v>
      </c>
      <c r="F37">
        <v>3</v>
      </c>
      <c r="H37">
        <v>2</v>
      </c>
      <c r="J37" s="3">
        <f>55+5+1</f>
        <v>61</v>
      </c>
    </row>
    <row r="38" spans="2:10">
      <c r="B38" t="s">
        <v>27</v>
      </c>
      <c r="E38">
        <v>9</v>
      </c>
      <c r="F38">
        <v>2</v>
      </c>
      <c r="H38">
        <v>5</v>
      </c>
      <c r="J38" s="3"/>
    </row>
    <row r="39" spans="2:10">
      <c r="B39" t="s">
        <v>29</v>
      </c>
      <c r="E39">
        <v>4</v>
      </c>
      <c r="F39">
        <v>2</v>
      </c>
      <c r="H39">
        <v>2</v>
      </c>
      <c r="J39" s="3"/>
    </row>
    <row r="40" spans="2:10">
      <c r="B40" t="s">
        <v>31</v>
      </c>
      <c r="E40">
        <v>11</v>
      </c>
      <c r="F40">
        <v>4</v>
      </c>
      <c r="H40">
        <v>8</v>
      </c>
      <c r="J40">
        <v>6</v>
      </c>
    </row>
    <row r="41" spans="2:10">
      <c r="B41" t="s">
        <v>33</v>
      </c>
      <c r="E41">
        <v>61</v>
      </c>
      <c r="F41">
        <f>34+14+3</f>
        <v>51</v>
      </c>
      <c r="H41">
        <f>38+7+5+1</f>
        <v>51</v>
      </c>
      <c r="J41" s="4">
        <f>38+7</f>
        <v>45</v>
      </c>
    </row>
    <row r="42" spans="2:10">
      <c r="B42" t="s">
        <v>34</v>
      </c>
      <c r="E42">
        <v>15</v>
      </c>
      <c r="F42">
        <v>4</v>
      </c>
      <c r="H42">
        <v>7</v>
      </c>
      <c r="J42" s="4"/>
    </row>
    <row r="43" spans="2:10">
      <c r="B43" t="s">
        <v>36</v>
      </c>
      <c r="E43">
        <v>19</v>
      </c>
      <c r="F43">
        <v>3</v>
      </c>
      <c r="H43">
        <v>3</v>
      </c>
      <c r="J43">
        <v>3</v>
      </c>
    </row>
    <row r="44" spans="2:10">
      <c r="B44" t="s">
        <v>37</v>
      </c>
      <c r="E44">
        <v>17</v>
      </c>
      <c r="H44">
        <v>1</v>
      </c>
    </row>
    <row r="45" spans="2:10">
      <c r="B45" s="1" t="s">
        <v>64</v>
      </c>
      <c r="C45" s="1">
        <f>SUM(C23:C44)</f>
        <v>0</v>
      </c>
      <c r="D45" s="1">
        <f>SUM(D23:D44)</f>
        <v>0</v>
      </c>
      <c r="E45" s="1">
        <f>SUM(E23:E44)</f>
        <v>472</v>
      </c>
      <c r="F45" s="1">
        <f t="shared" ref="F45:J45" si="1">SUM(F23:F44)</f>
        <v>253</v>
      </c>
      <c r="G45" s="1">
        <f t="shared" si="1"/>
        <v>0</v>
      </c>
      <c r="H45" s="1">
        <f t="shared" si="1"/>
        <v>326</v>
      </c>
      <c r="I45" s="1">
        <f t="shared" si="1"/>
        <v>0</v>
      </c>
      <c r="J45" s="1">
        <f t="shared" si="1"/>
        <v>279</v>
      </c>
    </row>
    <row r="47" spans="2:10">
      <c r="B47" t="s">
        <v>69</v>
      </c>
    </row>
    <row r="48" spans="2:10">
      <c r="B48" t="s">
        <v>71</v>
      </c>
      <c r="C48">
        <v>2012</v>
      </c>
      <c r="E48">
        <v>2011</v>
      </c>
      <c r="G48">
        <v>2010</v>
      </c>
      <c r="I48">
        <v>2009</v>
      </c>
    </row>
    <row r="49" spans="2:10">
      <c r="C49" t="s">
        <v>47</v>
      </c>
      <c r="D49" t="s">
        <v>63</v>
      </c>
      <c r="E49" t="s">
        <v>47</v>
      </c>
      <c r="F49" t="s">
        <v>63</v>
      </c>
      <c r="G49" t="s">
        <v>47</v>
      </c>
      <c r="H49" t="s">
        <v>63</v>
      </c>
      <c r="I49" t="s">
        <v>47</v>
      </c>
      <c r="J49" t="s">
        <v>63</v>
      </c>
    </row>
    <row r="50" spans="2:10">
      <c r="B50" t="s">
        <v>1</v>
      </c>
      <c r="E50">
        <v>46</v>
      </c>
      <c r="F50">
        <f>11+2+1+1</f>
        <v>15</v>
      </c>
      <c r="G50">
        <v>65</v>
      </c>
      <c r="H50">
        <v>11</v>
      </c>
      <c r="I50">
        <v>87</v>
      </c>
      <c r="J50">
        <v>19</v>
      </c>
    </row>
    <row r="51" spans="2:10">
      <c r="B51" t="s">
        <v>3</v>
      </c>
      <c r="E51">
        <v>161</v>
      </c>
      <c r="F51">
        <f>58+14+4+1</f>
        <v>77</v>
      </c>
      <c r="G51">
        <v>179</v>
      </c>
      <c r="H51">
        <f>93+21+1</f>
        <v>115</v>
      </c>
      <c r="I51">
        <v>172</v>
      </c>
      <c r="J51">
        <f>79+30+9</f>
        <v>118</v>
      </c>
    </row>
    <row r="52" spans="2:10">
      <c r="B52" t="s">
        <v>38</v>
      </c>
      <c r="E52">
        <v>178</v>
      </c>
      <c r="F52">
        <f>51+11+1+1+2</f>
        <v>66</v>
      </c>
      <c r="G52">
        <v>204</v>
      </c>
      <c r="H52">
        <f>64+11+6</f>
        <v>81</v>
      </c>
      <c r="I52">
        <v>181</v>
      </c>
      <c r="J52">
        <f>79+15+1+1</f>
        <v>96</v>
      </c>
    </row>
    <row r="53" spans="2:10">
      <c r="B53" t="s">
        <v>39</v>
      </c>
      <c r="E53">
        <v>177</v>
      </c>
      <c r="F53">
        <f>22+2+3</f>
        <v>27</v>
      </c>
      <c r="G53">
        <v>199</v>
      </c>
      <c r="H53">
        <f>17+1+3</f>
        <v>21</v>
      </c>
      <c r="I53">
        <v>224</v>
      </c>
      <c r="J53">
        <f>18+3+1</f>
        <v>22</v>
      </c>
    </row>
    <row r="54" spans="2:10">
      <c r="B54" t="s">
        <v>40</v>
      </c>
      <c r="E54">
        <v>154</v>
      </c>
      <c r="F54">
        <f>23+5+2</f>
        <v>30</v>
      </c>
      <c r="G54">
        <v>165</v>
      </c>
      <c r="H54">
        <f>13+2+2</f>
        <v>17</v>
      </c>
      <c r="I54">
        <v>193</v>
      </c>
      <c r="J54">
        <f>26+3+1</f>
        <v>30</v>
      </c>
    </row>
    <row r="55" spans="2:10">
      <c r="B55" t="s">
        <v>36</v>
      </c>
      <c r="E55">
        <v>21</v>
      </c>
      <c r="F55">
        <v>2</v>
      </c>
      <c r="G55">
        <v>29</v>
      </c>
      <c r="H55">
        <v>8</v>
      </c>
      <c r="I55">
        <v>25</v>
      </c>
      <c r="J55">
        <v>4</v>
      </c>
    </row>
    <row r="56" spans="2:10">
      <c r="B56" t="s">
        <v>16</v>
      </c>
      <c r="E56">
        <v>26</v>
      </c>
      <c r="F56">
        <v>6</v>
      </c>
      <c r="G56">
        <v>28</v>
      </c>
      <c r="H56">
        <v>3</v>
      </c>
      <c r="I56">
        <v>25</v>
      </c>
      <c r="J56">
        <v>4</v>
      </c>
    </row>
    <row r="57" spans="2:10">
      <c r="B57" t="s">
        <v>5</v>
      </c>
      <c r="E57">
        <v>21</v>
      </c>
      <c r="F57">
        <v>7</v>
      </c>
      <c r="G57">
        <v>21</v>
      </c>
      <c r="H57">
        <v>6</v>
      </c>
      <c r="I57">
        <v>22</v>
      </c>
      <c r="J57">
        <v>7</v>
      </c>
    </row>
    <row r="58" spans="2:10">
      <c r="B58" t="s">
        <v>42</v>
      </c>
      <c r="E58">
        <v>14</v>
      </c>
      <c r="F58">
        <v>2</v>
      </c>
      <c r="G58">
        <v>19</v>
      </c>
      <c r="H58">
        <v>7</v>
      </c>
      <c r="I58">
        <v>17</v>
      </c>
      <c r="J58">
        <v>12</v>
      </c>
    </row>
    <row r="59" spans="2:10">
      <c r="B59" t="s">
        <v>44</v>
      </c>
      <c r="E59">
        <v>18</v>
      </c>
      <c r="F59">
        <v>1</v>
      </c>
      <c r="G59">
        <v>20</v>
      </c>
      <c r="H59">
        <v>1</v>
      </c>
      <c r="I59">
        <v>18</v>
      </c>
      <c r="J59">
        <v>12</v>
      </c>
    </row>
    <row r="60" spans="2:10">
      <c r="B60" t="s">
        <v>39</v>
      </c>
      <c r="E60">
        <v>23</v>
      </c>
      <c r="F60">
        <v>4</v>
      </c>
      <c r="G60">
        <v>30</v>
      </c>
      <c r="H60">
        <v>1</v>
      </c>
      <c r="I60">
        <v>7</v>
      </c>
      <c r="J60">
        <v>5</v>
      </c>
    </row>
    <row r="61" spans="2:10">
      <c r="B61" t="s">
        <v>45</v>
      </c>
      <c r="E61">
        <v>34</v>
      </c>
      <c r="F61">
        <v>5</v>
      </c>
      <c r="G61">
        <v>40</v>
      </c>
      <c r="H61">
        <v>4</v>
      </c>
      <c r="I61">
        <v>25</v>
      </c>
      <c r="J61">
        <v>7</v>
      </c>
    </row>
    <row r="62" spans="2:10">
      <c r="B62" t="s">
        <v>46</v>
      </c>
      <c r="E62">
        <v>22</v>
      </c>
      <c r="F62">
        <v>2</v>
      </c>
      <c r="G62">
        <v>24</v>
      </c>
      <c r="H62">
        <v>1</v>
      </c>
      <c r="I62">
        <v>25</v>
      </c>
      <c r="J62">
        <v>2</v>
      </c>
    </row>
    <row r="63" spans="2:10">
      <c r="B63" t="s">
        <v>48</v>
      </c>
      <c r="E63">
        <v>21</v>
      </c>
      <c r="F63">
        <v>1</v>
      </c>
      <c r="G63">
        <v>21</v>
      </c>
      <c r="H63">
        <v>4</v>
      </c>
      <c r="I63">
        <v>24</v>
      </c>
      <c r="J63">
        <v>5</v>
      </c>
    </row>
    <row r="64" spans="2:10">
      <c r="B64" s="1" t="s">
        <v>66</v>
      </c>
      <c r="C64" s="1">
        <f>SUM(C50:C63)</f>
        <v>0</v>
      </c>
      <c r="D64" s="1">
        <f>SUM(D50:D63)</f>
        <v>0</v>
      </c>
      <c r="E64" s="1">
        <f>SUM(E50:E63)</f>
        <v>916</v>
      </c>
      <c r="F64" s="1">
        <f t="shared" ref="F64:J64" si="2">SUM(F50:F63)</f>
        <v>245</v>
      </c>
      <c r="G64" s="1">
        <f t="shared" si="2"/>
        <v>1044</v>
      </c>
      <c r="H64" s="1">
        <f t="shared" si="2"/>
        <v>280</v>
      </c>
      <c r="I64" s="1">
        <f t="shared" si="2"/>
        <v>1045</v>
      </c>
      <c r="J64" s="1">
        <f t="shared" si="2"/>
        <v>343</v>
      </c>
    </row>
    <row r="66" spans="2:10">
      <c r="B66" t="s">
        <v>72</v>
      </c>
      <c r="C66">
        <f>+C45+C64</f>
        <v>0</v>
      </c>
      <c r="D66">
        <f t="shared" ref="D66:J66" si="3">+D45+D64</f>
        <v>0</v>
      </c>
      <c r="E66">
        <f t="shared" si="3"/>
        <v>1388</v>
      </c>
      <c r="F66">
        <f t="shared" si="3"/>
        <v>498</v>
      </c>
      <c r="G66">
        <f t="shared" si="3"/>
        <v>1044</v>
      </c>
      <c r="H66">
        <f t="shared" si="3"/>
        <v>606</v>
      </c>
      <c r="I66">
        <f t="shared" si="3"/>
        <v>1045</v>
      </c>
      <c r="J66">
        <f t="shared" si="3"/>
        <v>622</v>
      </c>
    </row>
  </sheetData>
  <phoneticPr fontId="2" type="noConversion"/>
  <pageMargins left="0.13" right="0.12" top="0.22" bottom="0.23" header="0.13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"/>
  <sheetViews>
    <sheetView topLeftCell="A10" workbookViewId="0">
      <selection activeCell="AJ15" sqref="AJ15"/>
    </sheetView>
  </sheetViews>
  <sheetFormatPr defaultRowHeight="16.5"/>
  <sheetData>
    <row r="2" spans="2:2">
      <c r="B2" s="243"/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2차후추합</vt:lpstr>
      <vt:lpstr>총괄</vt:lpstr>
      <vt:lpstr>과거</vt:lpstr>
      <vt:lpstr>고대표본정리</vt:lpstr>
      <vt:lpstr>Sheet2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2012-02-04T09:28:19Z</cp:lastPrinted>
  <dcterms:created xsi:type="dcterms:W3CDTF">2012-02-04T09:16:39Z</dcterms:created>
  <dcterms:modified xsi:type="dcterms:W3CDTF">2012-02-10T22:51:30Z</dcterms:modified>
</cp:coreProperties>
</file>