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80" windowHeight="8445" activeTab="2"/>
  </bookViews>
  <sheets>
    <sheet name="성적입력" sheetId="1" r:id="rId1"/>
    <sheet name="계산도구" sheetId="3" state="hidden" r:id="rId2"/>
    <sheet name="보정점수표" sheetId="4" r:id="rId3"/>
    <sheet name="서울대-한양대보정별첨" sheetId="8" state="hidden" r:id="rId4"/>
    <sheet name="목록표" sheetId="15" state="hidden" r:id="rId5"/>
  </sheets>
  <externalReferences>
    <externalReference r:id="rId6"/>
  </externalReferences>
  <definedNames>
    <definedName name="과탐">목록표!$A$2:$A$9</definedName>
    <definedName name="수리유형">목록표!$B$2:$B$3</definedName>
    <definedName name="이과생">목록표!#REF!</definedName>
  </definedNames>
  <calcPr calcId="125725"/>
</workbook>
</file>

<file path=xl/calcChain.xml><?xml version="1.0" encoding="utf-8"?>
<calcChain xmlns="http://schemas.openxmlformats.org/spreadsheetml/2006/main">
  <c r="Q93" i="3"/>
  <c r="P93"/>
  <c r="O93"/>
  <c r="Q9"/>
  <c r="P9"/>
  <c r="O9"/>
  <c r="N9"/>
  <c r="Q2"/>
  <c r="P2"/>
  <c r="O2"/>
  <c r="N2"/>
  <c r="E12" i="1" l="1"/>
  <c r="J129" l="1"/>
  <c r="J128"/>
  <c r="J127"/>
  <c r="J126"/>
  <c r="J125"/>
  <c r="J124"/>
  <c r="J123"/>
  <c r="J122"/>
  <c r="J121"/>
  <c r="J120"/>
  <c r="J119"/>
  <c r="J118"/>
  <c r="J117"/>
  <c r="J116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3"/>
  <c r="E11"/>
  <c r="E10"/>
  <c r="E9"/>
  <c r="E8"/>
  <c r="E7"/>
  <c r="E14"/>
  <c r="J171"/>
  <c r="J170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69"/>
  <c r="E171"/>
  <c r="E170"/>
  <c r="E169"/>
  <c r="E168"/>
  <c r="E167"/>
  <c r="E166"/>
  <c r="E165"/>
  <c r="E164"/>
  <c r="E163"/>
  <c r="E162"/>
  <c r="E161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60"/>
  <c r="AG74" i="3"/>
  <c r="AF74"/>
  <c r="E129" i="1"/>
  <c r="E128"/>
  <c r="E127"/>
  <c r="E126"/>
  <c r="E125"/>
  <c r="E124"/>
  <c r="E123"/>
  <c r="E122"/>
  <c r="E121"/>
  <c r="E120"/>
  <c r="E119"/>
  <c r="E118"/>
  <c r="E117"/>
  <c r="E116"/>
  <c r="J134" l="1"/>
  <c r="J132"/>
  <c r="J131"/>
  <c r="J133"/>
  <c r="E134"/>
  <c r="E132"/>
  <c r="E131"/>
  <c r="E133"/>
  <c r="J114"/>
  <c r="J113"/>
  <c r="J112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111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6"/>
  <c r="E85"/>
  <c r="E84"/>
  <c r="E83"/>
  <c r="E82"/>
  <c r="E81"/>
  <c r="E80"/>
  <c r="E79"/>
  <c r="E78"/>
  <c r="E77"/>
  <c r="E76"/>
  <c r="E87"/>
  <c r="J74"/>
  <c r="J72"/>
  <c r="J71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73"/>
  <c r="AD45" i="3"/>
  <c r="Z44"/>
  <c r="X44"/>
  <c r="Z43"/>
  <c r="X43"/>
  <c r="L60"/>
  <c r="K60"/>
  <c r="J60"/>
  <c r="I60"/>
  <c r="L59"/>
  <c r="K59"/>
  <c r="J59"/>
  <c r="I59"/>
  <c r="L58"/>
  <c r="K58"/>
  <c r="J58"/>
  <c r="I58"/>
  <c r="T45" l="1"/>
  <c r="U45"/>
  <c r="V45"/>
  <c r="N45"/>
  <c r="O45"/>
  <c r="P45"/>
  <c r="Q45"/>
  <c r="M45" l="1"/>
  <c r="G45" s="1"/>
  <c r="Q44"/>
  <c r="Q59"/>
  <c r="Q43"/>
  <c r="Q42"/>
  <c r="Q41"/>
  <c r="Q60"/>
  <c r="Q58"/>
  <c r="T60"/>
  <c r="D60" s="1"/>
  <c r="T58"/>
  <c r="D58" s="1"/>
  <c r="T59"/>
  <c r="D59" s="1"/>
  <c r="O44"/>
  <c r="O59"/>
  <c r="O43"/>
  <c r="O42"/>
  <c r="O41"/>
  <c r="O60"/>
  <c r="O58"/>
  <c r="V60"/>
  <c r="F60" s="1"/>
  <c r="V58"/>
  <c r="F58" s="1"/>
  <c r="V59"/>
  <c r="F59" s="1"/>
  <c r="P43"/>
  <c r="P42"/>
  <c r="P41"/>
  <c r="P60"/>
  <c r="P58"/>
  <c r="P44"/>
  <c r="P59"/>
  <c r="N43"/>
  <c r="N42"/>
  <c r="N60"/>
  <c r="M60" s="1"/>
  <c r="G60" s="1"/>
  <c r="N58"/>
  <c r="M58" s="1"/>
  <c r="G58" s="1"/>
  <c r="N44"/>
  <c r="N41"/>
  <c r="N59"/>
  <c r="U59"/>
  <c r="U60"/>
  <c r="E60" s="1"/>
  <c r="U58"/>
  <c r="AG72"/>
  <c r="AE72"/>
  <c r="AF72"/>
  <c r="AD72"/>
  <c r="L72"/>
  <c r="K72"/>
  <c r="J72"/>
  <c r="I72"/>
  <c r="AA104"/>
  <c r="Z104"/>
  <c r="Z101"/>
  <c r="Z9"/>
  <c r="Z4"/>
  <c r="X104"/>
  <c r="L104"/>
  <c r="K104"/>
  <c r="J104"/>
  <c r="I104"/>
  <c r="M59" l="1"/>
  <c r="G59" s="1"/>
  <c r="M44"/>
  <c r="L44" s="1"/>
  <c r="G44" s="1"/>
  <c r="M43"/>
  <c r="L43" s="1"/>
  <c r="G43" s="1"/>
  <c r="M42"/>
  <c r="L42" s="1"/>
  <c r="M41"/>
  <c r="L41" s="1"/>
  <c r="AA4"/>
  <c r="AG4"/>
  <c r="AF4"/>
  <c r="AE4"/>
  <c r="AD4"/>
  <c r="X4"/>
  <c r="L4"/>
  <c r="K4"/>
  <c r="J4"/>
  <c r="I4"/>
  <c r="Z88" l="1"/>
  <c r="X88"/>
  <c r="L88"/>
  <c r="K88"/>
  <c r="J88"/>
  <c r="I88"/>
  <c r="Z87"/>
  <c r="X87"/>
  <c r="L87"/>
  <c r="K87"/>
  <c r="J87"/>
  <c r="I87"/>
  <c r="Z86"/>
  <c r="X86"/>
  <c r="L86"/>
  <c r="K86"/>
  <c r="J86"/>
  <c r="I86"/>
  <c r="L103"/>
  <c r="K103"/>
  <c r="J103"/>
  <c r="I103"/>
  <c r="L102"/>
  <c r="K102"/>
  <c r="J102"/>
  <c r="I102"/>
  <c r="AA101"/>
  <c r="AG101"/>
  <c r="L101" s="1"/>
  <c r="AF101"/>
  <c r="Y101"/>
  <c r="X101"/>
  <c r="K101"/>
  <c r="J101"/>
  <c r="I101"/>
  <c r="L100"/>
  <c r="K100"/>
  <c r="J100"/>
  <c r="I100"/>
  <c r="L90"/>
  <c r="K90"/>
  <c r="J90"/>
  <c r="I90"/>
  <c r="L99"/>
  <c r="K99"/>
  <c r="J99"/>
  <c r="I99"/>
  <c r="L98"/>
  <c r="K98"/>
  <c r="J98"/>
  <c r="I98"/>
  <c r="L97"/>
  <c r="K97"/>
  <c r="J97"/>
  <c r="I97"/>
  <c r="L96"/>
  <c r="K96"/>
  <c r="J96"/>
  <c r="I96"/>
  <c r="L95"/>
  <c r="K95"/>
  <c r="J95"/>
  <c r="I95"/>
  <c r="AA94" l="1"/>
  <c r="AA14"/>
  <c r="Z94"/>
  <c r="X94"/>
  <c r="L94"/>
  <c r="K94"/>
  <c r="J94"/>
  <c r="I94"/>
  <c r="Z14"/>
  <c r="X14"/>
  <c r="Z93"/>
  <c r="X93"/>
  <c r="L93"/>
  <c r="K93"/>
  <c r="J93"/>
  <c r="I93"/>
  <c r="L92" l="1"/>
  <c r="K92"/>
  <c r="J92"/>
  <c r="I92"/>
  <c r="Z69" l="1"/>
  <c r="X69"/>
  <c r="Z62" l="1"/>
  <c r="X62"/>
  <c r="Z85"/>
  <c r="X85"/>
  <c r="Z81"/>
  <c r="X81"/>
  <c r="Z75"/>
  <c r="X75"/>
  <c r="Z71"/>
  <c r="X71"/>
  <c r="Z70"/>
  <c r="X70"/>
  <c r="Z56"/>
  <c r="X56"/>
  <c r="Z55"/>
  <c r="X55"/>
  <c r="Z37"/>
  <c r="X37"/>
  <c r="Z36"/>
  <c r="X36"/>
  <c r="Z21"/>
  <c r="X21"/>
  <c r="L62"/>
  <c r="K62"/>
  <c r="J62"/>
  <c r="I62"/>
  <c r="I51" l="1"/>
  <c r="J51"/>
  <c r="K51"/>
  <c r="L51"/>
  <c r="Z42" l="1"/>
  <c r="X42"/>
  <c r="Z41"/>
  <c r="X41"/>
  <c r="L40" l="1"/>
  <c r="K40"/>
  <c r="J40"/>
  <c r="I40"/>
  <c r="L35" l="1"/>
  <c r="K35"/>
  <c r="J35"/>
  <c r="I35"/>
  <c r="X9" l="1"/>
  <c r="L20"/>
  <c r="K20"/>
  <c r="J20"/>
  <c r="Z18" l="1"/>
  <c r="X18"/>
  <c r="Z17"/>
  <c r="X17"/>
  <c r="Z16"/>
  <c r="X16"/>
  <c r="Z15"/>
  <c r="X15"/>
  <c r="U90" l="1"/>
  <c r="U100"/>
  <c r="V90"/>
  <c r="F90" s="1"/>
  <c r="V100"/>
  <c r="F100" s="1"/>
  <c r="T90"/>
  <c r="D90" s="1"/>
  <c r="T100"/>
  <c r="D100" s="1"/>
  <c r="U98"/>
  <c r="U95"/>
  <c r="U97"/>
  <c r="E97" s="1"/>
  <c r="U96"/>
  <c r="V97"/>
  <c r="F97" s="1"/>
  <c r="V96"/>
  <c r="F96" s="1"/>
  <c r="V98"/>
  <c r="F98" s="1"/>
  <c r="V95"/>
  <c r="F95" s="1"/>
  <c r="T97"/>
  <c r="D97" s="1"/>
  <c r="T96"/>
  <c r="D96" s="1"/>
  <c r="T98"/>
  <c r="D98" s="1"/>
  <c r="T95"/>
  <c r="D95" s="1"/>
  <c r="V35"/>
  <c r="F35" s="1"/>
  <c r="V92"/>
  <c r="F92" s="1"/>
  <c r="T35"/>
  <c r="D35" s="1"/>
  <c r="T92"/>
  <c r="D92" s="1"/>
  <c r="U35"/>
  <c r="E35" s="1"/>
  <c r="U92"/>
  <c r="E92" s="1"/>
  <c r="N90" l="1"/>
  <c r="N100"/>
  <c r="O90"/>
  <c r="O100"/>
  <c r="P90"/>
  <c r="P100"/>
  <c r="Q90"/>
  <c r="Q100"/>
  <c r="O98"/>
  <c r="O95"/>
  <c r="O97"/>
  <c r="O96"/>
  <c r="P97"/>
  <c r="P96"/>
  <c r="P98"/>
  <c r="P95"/>
  <c r="Q98"/>
  <c r="Q95"/>
  <c r="Q97"/>
  <c r="Q96"/>
  <c r="N97"/>
  <c r="M97" s="1"/>
  <c r="N96"/>
  <c r="M96" s="1"/>
  <c r="N98"/>
  <c r="N95"/>
  <c r="P92"/>
  <c r="N92"/>
  <c r="O92"/>
  <c r="Q92"/>
  <c r="N35"/>
  <c r="P35"/>
  <c r="O35"/>
  <c r="Q35"/>
  <c r="L8"/>
  <c r="K8"/>
  <c r="J8"/>
  <c r="I8"/>
  <c r="L7"/>
  <c r="K7"/>
  <c r="J7"/>
  <c r="I7"/>
  <c r="M90" l="1"/>
  <c r="G90" s="1"/>
  <c r="M100"/>
  <c r="G100" s="1"/>
  <c r="M98"/>
  <c r="G98" s="1"/>
  <c r="G97"/>
  <c r="G92" i="1" s="1"/>
  <c r="M95" i="3"/>
  <c r="G95" s="1"/>
  <c r="G96"/>
  <c r="M92"/>
  <c r="G92" s="1"/>
  <c r="G166" i="1" s="1"/>
  <c r="M35" i="3"/>
  <c r="G35" s="1"/>
  <c r="G42" i="1" s="1"/>
  <c r="L54" i="3" l="1"/>
  <c r="K54"/>
  <c r="J54"/>
  <c r="I54"/>
  <c r="J28" l="1"/>
  <c r="L28"/>
  <c r="L37" l="1"/>
  <c r="K37"/>
  <c r="J37"/>
  <c r="I37"/>
  <c r="L33"/>
  <c r="K33"/>
  <c r="J33"/>
  <c r="I33"/>
  <c r="L91" l="1"/>
  <c r="K91"/>
  <c r="J91"/>
  <c r="I91"/>
  <c r="L18" l="1"/>
  <c r="K18"/>
  <c r="J18"/>
  <c r="I18"/>
  <c r="L17"/>
  <c r="K17"/>
  <c r="J17"/>
  <c r="I17"/>
  <c r="L32" l="1"/>
  <c r="K32"/>
  <c r="J32"/>
  <c r="I32"/>
  <c r="U32" l="1"/>
  <c r="U33"/>
  <c r="E33" s="1"/>
  <c r="T32"/>
  <c r="D32" s="1"/>
  <c r="T33"/>
  <c r="D33" s="1"/>
  <c r="V32"/>
  <c r="F32" s="1"/>
  <c r="V33"/>
  <c r="F33" s="1"/>
  <c r="P89"/>
  <c r="O89"/>
  <c r="N89"/>
  <c r="V89"/>
  <c r="U89"/>
  <c r="T89"/>
  <c r="L89"/>
  <c r="K89"/>
  <c r="J89"/>
  <c r="I89"/>
  <c r="N84"/>
  <c r="Q32" l="1"/>
  <c r="Q37"/>
  <c r="Q33"/>
  <c r="P32"/>
  <c r="P33"/>
  <c r="P37"/>
  <c r="N32"/>
  <c r="N33"/>
  <c r="N37"/>
  <c r="O32"/>
  <c r="O37"/>
  <c r="O33"/>
  <c r="D89"/>
  <c r="F89"/>
  <c r="Q89"/>
  <c r="M89" s="1"/>
  <c r="G89" s="1"/>
  <c r="E89"/>
  <c r="L85"/>
  <c r="K85"/>
  <c r="J85"/>
  <c r="I85"/>
  <c r="M32" l="1"/>
  <c r="G32" s="1"/>
  <c r="G98" i="1"/>
  <c r="G100" s="1"/>
  <c r="M37" i="3"/>
  <c r="G37" s="1"/>
  <c r="M33"/>
  <c r="G33" s="1"/>
  <c r="G47" i="1" s="1"/>
  <c r="G50" s="1"/>
  <c r="G151"/>
  <c r="G152" s="1"/>
  <c r="Q84" i="3"/>
  <c r="P84"/>
  <c r="O84"/>
  <c r="V84"/>
  <c r="U84"/>
  <c r="T84"/>
  <c r="M84" l="1"/>
  <c r="L84"/>
  <c r="K84"/>
  <c r="F84" s="1"/>
  <c r="J84"/>
  <c r="I84"/>
  <c r="D84" s="1"/>
  <c r="V83"/>
  <c r="U83"/>
  <c r="T83"/>
  <c r="Q83"/>
  <c r="P83"/>
  <c r="O83"/>
  <c r="N83"/>
  <c r="L83"/>
  <c r="K83"/>
  <c r="J83"/>
  <c r="I83"/>
  <c r="V82"/>
  <c r="U82"/>
  <c r="T82"/>
  <c r="Q82"/>
  <c r="P82"/>
  <c r="O82"/>
  <c r="N82"/>
  <c r="L82"/>
  <c r="K82"/>
  <c r="J82"/>
  <c r="I82"/>
  <c r="Q81"/>
  <c r="P81"/>
  <c r="O81"/>
  <c r="N81"/>
  <c r="L81"/>
  <c r="K81"/>
  <c r="J81"/>
  <c r="I81"/>
  <c r="V80"/>
  <c r="U80"/>
  <c r="T80"/>
  <c r="Q80"/>
  <c r="P80"/>
  <c r="O80"/>
  <c r="N80"/>
  <c r="L80"/>
  <c r="K80"/>
  <c r="J80"/>
  <c r="E80" s="1"/>
  <c r="I80"/>
  <c r="AG79"/>
  <c r="L79" s="1"/>
  <c r="AF79"/>
  <c r="AE79"/>
  <c r="J79" s="1"/>
  <c r="AD79"/>
  <c r="I79" s="1"/>
  <c r="K79"/>
  <c r="Q78"/>
  <c r="P78"/>
  <c r="O78"/>
  <c r="N78"/>
  <c r="Q77"/>
  <c r="P77"/>
  <c r="O77"/>
  <c r="N77"/>
  <c r="Q76"/>
  <c r="P76"/>
  <c r="O76"/>
  <c r="N76"/>
  <c r="Q65"/>
  <c r="P65"/>
  <c r="O65"/>
  <c r="N65"/>
  <c r="Q64"/>
  <c r="P64"/>
  <c r="O64"/>
  <c r="N64"/>
  <c r="Q61"/>
  <c r="P61"/>
  <c r="O61"/>
  <c r="N61"/>
  <c r="Q57"/>
  <c r="P57"/>
  <c r="O57"/>
  <c r="N57"/>
  <c r="Q49"/>
  <c r="P49"/>
  <c r="O49"/>
  <c r="N49"/>
  <c r="Q48"/>
  <c r="P48"/>
  <c r="O48"/>
  <c r="N48"/>
  <c r="Q47"/>
  <c r="P47"/>
  <c r="O47"/>
  <c r="N47"/>
  <c r="Q46"/>
  <c r="P46"/>
  <c r="O46"/>
  <c r="N46"/>
  <c r="Q36"/>
  <c r="P36"/>
  <c r="O36"/>
  <c r="N36"/>
  <c r="Q34"/>
  <c r="P34"/>
  <c r="O34"/>
  <c r="N34"/>
  <c r="Q31"/>
  <c r="P31"/>
  <c r="O31"/>
  <c r="N31"/>
  <c r="Q30"/>
  <c r="P30"/>
  <c r="O30"/>
  <c r="N30"/>
  <c r="Q29"/>
  <c r="P29"/>
  <c r="O29"/>
  <c r="N29"/>
  <c r="Q28"/>
  <c r="P28"/>
  <c r="O28"/>
  <c r="N28"/>
  <c r="Q27"/>
  <c r="P27"/>
  <c r="O27"/>
  <c r="N27"/>
  <c r="Q13"/>
  <c r="P13"/>
  <c r="O13"/>
  <c r="N13"/>
  <c r="Q12"/>
  <c r="P12"/>
  <c r="O12"/>
  <c r="N12"/>
  <c r="Q11"/>
  <c r="P11"/>
  <c r="O11"/>
  <c r="N11"/>
  <c r="Q10"/>
  <c r="P10"/>
  <c r="O10"/>
  <c r="N10"/>
  <c r="V78"/>
  <c r="U78"/>
  <c r="T78"/>
  <c r="D78" s="1"/>
  <c r="L78"/>
  <c r="K78"/>
  <c r="J78"/>
  <c r="I78"/>
  <c r="V77"/>
  <c r="U77"/>
  <c r="T77"/>
  <c r="L77"/>
  <c r="K77"/>
  <c r="J77"/>
  <c r="I77"/>
  <c r="V76"/>
  <c r="U76"/>
  <c r="T76"/>
  <c r="L76"/>
  <c r="K76"/>
  <c r="J76"/>
  <c r="I76"/>
  <c r="AA75"/>
  <c r="AA71"/>
  <c r="L75"/>
  <c r="K75"/>
  <c r="J75"/>
  <c r="I75"/>
  <c r="L74"/>
  <c r="K74"/>
  <c r="J74"/>
  <c r="I74"/>
  <c r="L73"/>
  <c r="K73"/>
  <c r="J73"/>
  <c r="I73"/>
  <c r="L71"/>
  <c r="K71"/>
  <c r="J71"/>
  <c r="I71"/>
  <c r="L70"/>
  <c r="K70"/>
  <c r="J70"/>
  <c r="I70"/>
  <c r="Q70"/>
  <c r="P70"/>
  <c r="O70"/>
  <c r="N70"/>
  <c r="M47" l="1"/>
  <c r="G47" s="1"/>
  <c r="M57"/>
  <c r="G57" s="1"/>
  <c r="E77"/>
  <c r="M61"/>
  <c r="M27"/>
  <c r="M28"/>
  <c r="G28" s="1"/>
  <c r="M29"/>
  <c r="M46"/>
  <c r="D80"/>
  <c r="F80"/>
  <c r="E83"/>
  <c r="G84"/>
  <c r="D83"/>
  <c r="M76"/>
  <c r="G76" s="1"/>
  <c r="M83"/>
  <c r="G83" s="1"/>
  <c r="M78"/>
  <c r="G78" s="1"/>
  <c r="F83"/>
  <c r="M80"/>
  <c r="G80" s="1"/>
  <c r="M82"/>
  <c r="G82" s="1"/>
  <c r="D82"/>
  <c r="F82"/>
  <c r="M81"/>
  <c r="G81" s="1"/>
  <c r="M77"/>
  <c r="G77" s="1"/>
  <c r="F78"/>
  <c r="F77"/>
  <c r="D77"/>
  <c r="D76"/>
  <c r="F76"/>
  <c r="M70"/>
  <c r="G70" s="1"/>
  <c r="G155" i="1" l="1"/>
  <c r="G156" s="1"/>
  <c r="G160"/>
  <c r="G161" s="1"/>
  <c r="G164"/>
  <c r="G165" s="1"/>
  <c r="Q69" i="3"/>
  <c r="P69"/>
  <c r="O69"/>
  <c r="N69"/>
  <c r="L69"/>
  <c r="K69"/>
  <c r="J69"/>
  <c r="I69"/>
  <c r="Q68"/>
  <c r="P68"/>
  <c r="O68"/>
  <c r="N68"/>
  <c r="L68"/>
  <c r="K68"/>
  <c r="J68"/>
  <c r="I68"/>
  <c r="V67"/>
  <c r="U67"/>
  <c r="T67"/>
  <c r="Q67"/>
  <c r="P67"/>
  <c r="O67"/>
  <c r="N67"/>
  <c r="L67"/>
  <c r="K67"/>
  <c r="F67" s="1"/>
  <c r="J67"/>
  <c r="I67"/>
  <c r="M69" l="1"/>
  <c r="G69" s="1"/>
  <c r="D67"/>
  <c r="M68"/>
  <c r="G68" s="1"/>
  <c r="M67"/>
  <c r="G67" s="1"/>
  <c r="L66"/>
  <c r="K66"/>
  <c r="J66"/>
  <c r="I66"/>
  <c r="V65"/>
  <c r="U65"/>
  <c r="T65"/>
  <c r="L65"/>
  <c r="K65"/>
  <c r="J65"/>
  <c r="I65"/>
  <c r="V64"/>
  <c r="U64"/>
  <c r="T64"/>
  <c r="L64"/>
  <c r="K64"/>
  <c r="J64"/>
  <c r="I64"/>
  <c r="L63"/>
  <c r="K63"/>
  <c r="J63"/>
  <c r="I63"/>
  <c r="V61"/>
  <c r="U61"/>
  <c r="E61" s="1"/>
  <c r="T61"/>
  <c r="L61"/>
  <c r="K61"/>
  <c r="J61"/>
  <c r="I61"/>
  <c r="V57"/>
  <c r="U57"/>
  <c r="T57"/>
  <c r="L57"/>
  <c r="K57"/>
  <c r="J57"/>
  <c r="I57"/>
  <c r="F57" l="1"/>
  <c r="D65"/>
  <c r="F65"/>
  <c r="D57"/>
  <c r="D61"/>
  <c r="F61"/>
  <c r="M64"/>
  <c r="M65"/>
  <c r="G65" s="1"/>
  <c r="D64"/>
  <c r="F64"/>
  <c r="L56" l="1"/>
  <c r="K56"/>
  <c r="J56"/>
  <c r="I56"/>
  <c r="L55"/>
  <c r="K55"/>
  <c r="J55"/>
  <c r="I55"/>
  <c r="L53"/>
  <c r="K53"/>
  <c r="J53"/>
  <c r="I53"/>
  <c r="L52"/>
  <c r="K52"/>
  <c r="J52"/>
  <c r="I52"/>
  <c r="L50"/>
  <c r="K50"/>
  <c r="J50"/>
  <c r="I50"/>
  <c r="V49" l="1"/>
  <c r="U49"/>
  <c r="T49"/>
  <c r="L49"/>
  <c r="K49"/>
  <c r="J49"/>
  <c r="I49"/>
  <c r="V48"/>
  <c r="U48"/>
  <c r="T48"/>
  <c r="L48"/>
  <c r="K48"/>
  <c r="F48" s="1"/>
  <c r="J48"/>
  <c r="I48"/>
  <c r="D48" l="1"/>
  <c r="M49"/>
  <c r="G49" s="1"/>
  <c r="M48"/>
  <c r="G48" s="1"/>
  <c r="F49"/>
  <c r="D49"/>
  <c r="V47" l="1"/>
  <c r="U47"/>
  <c r="T47"/>
  <c r="L47"/>
  <c r="K47"/>
  <c r="J47"/>
  <c r="I47"/>
  <c r="D47" l="1"/>
  <c r="F47"/>
  <c r="V46"/>
  <c r="U46"/>
  <c r="T46"/>
  <c r="L46"/>
  <c r="K46"/>
  <c r="J46"/>
  <c r="I46"/>
  <c r="L45"/>
  <c r="K45"/>
  <c r="J45"/>
  <c r="I45"/>
  <c r="U31"/>
  <c r="E45" l="1"/>
  <c r="E46"/>
  <c r="D46"/>
  <c r="G46"/>
  <c r="F45"/>
  <c r="D45"/>
  <c r="F46"/>
  <c r="G58" i="1" l="1"/>
  <c r="G59"/>
  <c r="AG27" i="3"/>
  <c r="L27" s="1"/>
  <c r="G27" s="1"/>
  <c r="AF27"/>
  <c r="K27" s="1"/>
  <c r="AE27"/>
  <c r="J27" s="1"/>
  <c r="AD27"/>
  <c r="I27" s="1"/>
  <c r="L39"/>
  <c r="K39"/>
  <c r="J39"/>
  <c r="I39"/>
  <c r="L26"/>
  <c r="K26"/>
  <c r="J26"/>
  <c r="I26"/>
  <c r="L25"/>
  <c r="K25"/>
  <c r="J25"/>
  <c r="I25"/>
  <c r="L24"/>
  <c r="K24"/>
  <c r="J24"/>
  <c r="I24"/>
  <c r="J19" l="1"/>
  <c r="K19"/>
  <c r="L19"/>
  <c r="L3" l="1"/>
  <c r="K3"/>
  <c r="J3"/>
  <c r="I3"/>
  <c r="I22" l="1"/>
  <c r="J22"/>
  <c r="K22"/>
  <c r="L22"/>
  <c r="A103" i="8" l="1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L38" i="3" l="1"/>
  <c r="K38"/>
  <c r="J38"/>
  <c r="I38"/>
  <c r="L36"/>
  <c r="K36"/>
  <c r="J36"/>
  <c r="I36"/>
  <c r="L34"/>
  <c r="K34"/>
  <c r="J34"/>
  <c r="I34"/>
  <c r="L31"/>
  <c r="K31"/>
  <c r="J31"/>
  <c r="I31"/>
  <c r="L30"/>
  <c r="K30"/>
  <c r="J30"/>
  <c r="I30"/>
  <c r="L29"/>
  <c r="G29" s="1"/>
  <c r="K29"/>
  <c r="J29"/>
  <c r="I29"/>
  <c r="L23"/>
  <c r="K23"/>
  <c r="J23"/>
  <c r="I23"/>
  <c r="L21"/>
  <c r="K21"/>
  <c r="J21"/>
  <c r="I21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6"/>
  <c r="K6"/>
  <c r="J6"/>
  <c r="I6"/>
  <c r="A103" i="4" l="1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Q5" i="3" l="1"/>
  <c r="P5"/>
  <c r="N5"/>
  <c r="O5"/>
  <c r="O73"/>
  <c r="O104"/>
  <c r="Q72"/>
  <c r="N73"/>
  <c r="N104"/>
  <c r="P72"/>
  <c r="O4"/>
  <c r="N4"/>
  <c r="Q4"/>
  <c r="O72"/>
  <c r="Q73"/>
  <c r="Q104"/>
  <c r="N72"/>
  <c r="P73"/>
  <c r="P104"/>
  <c r="P4"/>
  <c r="N101"/>
  <c r="P101"/>
  <c r="O101"/>
  <c r="Q101"/>
  <c r="Q40"/>
  <c r="P94"/>
  <c r="N94"/>
  <c r="N40"/>
  <c r="O94"/>
  <c r="Q94"/>
  <c r="P40"/>
  <c r="O40"/>
  <c r="P8"/>
  <c r="P21"/>
  <c r="N7"/>
  <c r="Q8"/>
  <c r="Q21"/>
  <c r="O7"/>
  <c r="P7"/>
  <c r="N8"/>
  <c r="N21"/>
  <c r="Q7"/>
  <c r="O8"/>
  <c r="O21"/>
  <c r="P75"/>
  <c r="N75"/>
  <c r="P71"/>
  <c r="N71"/>
  <c r="Q75"/>
  <c r="O75"/>
  <c r="Q71"/>
  <c r="O71"/>
  <c r="Q39"/>
  <c r="O39"/>
  <c r="P39"/>
  <c r="N39"/>
  <c r="Q26"/>
  <c r="O26"/>
  <c r="P25"/>
  <c r="N25"/>
  <c r="Q24"/>
  <c r="O24"/>
  <c r="P26"/>
  <c r="N26"/>
  <c r="Q25"/>
  <c r="O25"/>
  <c r="P24"/>
  <c r="N24"/>
  <c r="N3"/>
  <c r="O3"/>
  <c r="Q3"/>
  <c r="P3"/>
  <c r="T12"/>
  <c r="D12" s="1"/>
  <c r="T27"/>
  <c r="T30"/>
  <c r="D30" s="1"/>
  <c r="T10"/>
  <c r="T11"/>
  <c r="D11" s="1"/>
  <c r="T13"/>
  <c r="T28"/>
  <c r="T29"/>
  <c r="T31"/>
  <c r="D31" s="1"/>
  <c r="T34"/>
  <c r="D34" s="1"/>
  <c r="V30"/>
  <c r="F30" s="1"/>
  <c r="V34"/>
  <c r="F34" s="1"/>
  <c r="V27"/>
  <c r="V12"/>
  <c r="F12" s="1"/>
  <c r="V10"/>
  <c r="V11"/>
  <c r="F11" s="1"/>
  <c r="V13"/>
  <c r="V28"/>
  <c r="V29"/>
  <c r="V31"/>
  <c r="F31" s="1"/>
  <c r="U13"/>
  <c r="E13" s="1"/>
  <c r="U27"/>
  <c r="E27" s="1"/>
  <c r="U30"/>
  <c r="U11"/>
  <c r="E11" s="1"/>
  <c r="U29"/>
  <c r="E29" s="1"/>
  <c r="U34"/>
  <c r="U10"/>
  <c r="E10" s="1"/>
  <c r="U12"/>
  <c r="E12" s="1"/>
  <c r="U28"/>
  <c r="E28" s="1"/>
  <c r="M72" l="1"/>
  <c r="G72" s="1"/>
  <c r="M5"/>
  <c r="G5" s="1"/>
  <c r="M101"/>
  <c r="G101" s="1"/>
  <c r="M104"/>
  <c r="M4"/>
  <c r="M73"/>
  <c r="G73" s="1"/>
  <c r="M8"/>
  <c r="G8" s="1"/>
  <c r="M21"/>
  <c r="G21" s="1"/>
  <c r="M7"/>
  <c r="G7" s="1"/>
  <c r="M94"/>
  <c r="G94" s="1"/>
  <c r="M40"/>
  <c r="G40" s="1"/>
  <c r="F29"/>
  <c r="D29"/>
  <c r="M71"/>
  <c r="G71" s="1"/>
  <c r="M75"/>
  <c r="M39"/>
  <c r="D27"/>
  <c r="M24"/>
  <c r="G24" s="1"/>
  <c r="M26"/>
  <c r="G26" s="1"/>
  <c r="M3"/>
  <c r="G3" s="1"/>
  <c r="M25"/>
  <c r="G25" s="1"/>
  <c r="G39"/>
  <c r="G75"/>
  <c r="F27"/>
  <c r="F10"/>
  <c r="D10"/>
  <c r="F13"/>
  <c r="D13"/>
  <c r="N22" l="1"/>
  <c r="N23"/>
  <c r="N6"/>
  <c r="N38"/>
  <c r="N14"/>
  <c r="P23"/>
  <c r="P22"/>
  <c r="P14"/>
  <c r="P38"/>
  <c r="P6"/>
  <c r="Q22"/>
  <c r="Q23"/>
  <c r="Q14"/>
  <c r="Q38"/>
  <c r="Q6"/>
  <c r="O22"/>
  <c r="O23"/>
  <c r="O6"/>
  <c r="O14"/>
  <c r="O38"/>
  <c r="M38" l="1"/>
  <c r="G38" s="1"/>
  <c r="M14"/>
  <c r="G14" s="1"/>
  <c r="M22"/>
  <c r="G22" s="1"/>
  <c r="M6"/>
  <c r="G6" s="1"/>
  <c r="M23"/>
  <c r="G23" s="1"/>
  <c r="G64"/>
  <c r="G61"/>
  <c r="M13"/>
  <c r="G13" s="1"/>
  <c r="G18" i="1" s="1"/>
  <c r="M11" i="3"/>
  <c r="G11" s="1"/>
  <c r="G16" i="1" s="1"/>
  <c r="M30" i="3"/>
  <c r="G30" s="1"/>
  <c r="M36"/>
  <c r="G36" s="1"/>
  <c r="G36" i="1"/>
  <c r="M31" i="3"/>
  <c r="G31" s="1"/>
  <c r="M12"/>
  <c r="G12" s="1"/>
  <c r="G17" i="1" s="1"/>
  <c r="G37"/>
  <c r="G38" s="1"/>
  <c r="M10" i="3"/>
  <c r="G10" s="1"/>
  <c r="G15" i="1" s="1"/>
  <c r="G34"/>
  <c r="G35" s="1"/>
  <c r="M34" i="3"/>
  <c r="G116" i="1" l="1"/>
  <c r="G34" i="3"/>
  <c r="W28"/>
  <c r="E78" l="1"/>
  <c r="E96" l="1"/>
  <c r="E90"/>
  <c r="E95"/>
  <c r="O52"/>
  <c r="O50"/>
  <c r="O51"/>
  <c r="O102"/>
  <c r="O103"/>
  <c r="O88"/>
  <c r="O87"/>
  <c r="O56"/>
  <c r="O18"/>
  <c r="O16"/>
  <c r="O86"/>
  <c r="O99"/>
  <c r="O62"/>
  <c r="O55"/>
  <c r="O17"/>
  <c r="O15"/>
  <c r="O20"/>
  <c r="O19"/>
  <c r="O54"/>
  <c r="O53"/>
  <c r="O91"/>
  <c r="O85"/>
  <c r="O79"/>
  <c r="O74"/>
  <c r="O63"/>
  <c r="O66"/>
  <c r="I44"/>
  <c r="D44" s="1"/>
  <c r="I43"/>
  <c r="D43" s="1"/>
  <c r="T44"/>
  <c r="I42"/>
  <c r="T41"/>
  <c r="T43"/>
  <c r="I41"/>
  <c r="T42"/>
  <c r="T72"/>
  <c r="D72" s="1"/>
  <c r="T104"/>
  <c r="T4"/>
  <c r="T102"/>
  <c r="D102" s="1"/>
  <c r="T103"/>
  <c r="D103" s="1"/>
  <c r="T101"/>
  <c r="D101" s="1"/>
  <c r="T86"/>
  <c r="D86" s="1"/>
  <c r="T88"/>
  <c r="D88" s="1"/>
  <c r="T87"/>
  <c r="D87" s="1"/>
  <c r="T99"/>
  <c r="D99" s="1"/>
  <c r="T94"/>
  <c r="D94" s="1"/>
  <c r="T40"/>
  <c r="D40" s="1"/>
  <c r="T51"/>
  <c r="D51" s="1"/>
  <c r="T93"/>
  <c r="D93" s="1"/>
  <c r="T62"/>
  <c r="D62" s="1"/>
  <c r="T7"/>
  <c r="D7" s="1"/>
  <c r="T8"/>
  <c r="D8" s="1"/>
  <c r="T54"/>
  <c r="D54" s="1"/>
  <c r="T18"/>
  <c r="D18" s="1"/>
  <c r="T37"/>
  <c r="D37" s="1"/>
  <c r="T91"/>
  <c r="D91" s="1"/>
  <c r="T17"/>
  <c r="D17" s="1"/>
  <c r="T85"/>
  <c r="D85" s="1"/>
  <c r="T75"/>
  <c r="D75" s="1"/>
  <c r="T71"/>
  <c r="D71" s="1"/>
  <c r="T70"/>
  <c r="D70" s="1"/>
  <c r="T81"/>
  <c r="D81" s="1"/>
  <c r="T79"/>
  <c r="D79" s="1"/>
  <c r="T74"/>
  <c r="D74" s="1"/>
  <c r="T73"/>
  <c r="D73" s="1"/>
  <c r="T69"/>
  <c r="D69" s="1"/>
  <c r="D2"/>
  <c r="T68"/>
  <c r="D68" s="1"/>
  <c r="T66"/>
  <c r="D66" s="1"/>
  <c r="T63"/>
  <c r="D63" s="1"/>
  <c r="T53"/>
  <c r="D53" s="1"/>
  <c r="T50"/>
  <c r="D50" s="1"/>
  <c r="T56"/>
  <c r="D56" s="1"/>
  <c r="T55"/>
  <c r="D55" s="1"/>
  <c r="T52"/>
  <c r="D52" s="1"/>
  <c r="T24"/>
  <c r="D24" s="1"/>
  <c r="T39"/>
  <c r="D39" s="1"/>
  <c r="T25"/>
  <c r="D25" s="1"/>
  <c r="T26"/>
  <c r="D26" s="1"/>
  <c r="T3"/>
  <c r="D3" s="1"/>
  <c r="D5"/>
  <c r="T22"/>
  <c r="D22" s="1"/>
  <c r="T9"/>
  <c r="D9" s="1"/>
  <c r="T15"/>
  <c r="D15" s="1"/>
  <c r="T14"/>
  <c r="D14" s="1"/>
  <c r="T38"/>
  <c r="D38" s="1"/>
  <c r="T23"/>
  <c r="D23" s="1"/>
  <c r="T6"/>
  <c r="D6" s="1"/>
  <c r="T16"/>
  <c r="D16" s="1"/>
  <c r="T36"/>
  <c r="D36" s="1"/>
  <c r="T21"/>
  <c r="D21" s="1"/>
  <c r="P52"/>
  <c r="P50"/>
  <c r="P51"/>
  <c r="P103"/>
  <c r="P102"/>
  <c r="P87"/>
  <c r="P86"/>
  <c r="P99"/>
  <c r="P62"/>
  <c r="P55"/>
  <c r="P17"/>
  <c r="P15"/>
  <c r="P88"/>
  <c r="P56"/>
  <c r="P18"/>
  <c r="P16"/>
  <c r="P20"/>
  <c r="P19"/>
  <c r="P54"/>
  <c r="P53"/>
  <c r="P91"/>
  <c r="P85"/>
  <c r="P79"/>
  <c r="P74"/>
  <c r="P66"/>
  <c r="P63"/>
  <c r="J43"/>
  <c r="E43" s="1"/>
  <c r="J42"/>
  <c r="J44"/>
  <c r="E44" s="1"/>
  <c r="J41"/>
  <c r="U72"/>
  <c r="E72" s="1"/>
  <c r="U103"/>
  <c r="U102"/>
  <c r="E102" s="1"/>
  <c r="U101"/>
  <c r="E101" s="1"/>
  <c r="U99"/>
  <c r="U20"/>
  <c r="E20" s="1"/>
  <c r="U51"/>
  <c r="E51" s="1"/>
  <c r="U40"/>
  <c r="E40" s="1"/>
  <c r="U7"/>
  <c r="E7" s="1"/>
  <c r="U8"/>
  <c r="E8" s="1"/>
  <c r="U54"/>
  <c r="E54" s="1"/>
  <c r="U91"/>
  <c r="E91" s="1"/>
  <c r="U79"/>
  <c r="E79" s="1"/>
  <c r="U74"/>
  <c r="E74" s="1"/>
  <c r="U73"/>
  <c r="E73" s="1"/>
  <c r="U68"/>
  <c r="E68" s="1"/>
  <c r="E2"/>
  <c r="U66"/>
  <c r="E66" s="1"/>
  <c r="U63"/>
  <c r="E63" s="1"/>
  <c r="U52"/>
  <c r="U53"/>
  <c r="E53" s="1"/>
  <c r="U50"/>
  <c r="E50" s="1"/>
  <c r="U39"/>
  <c r="U26"/>
  <c r="E26" s="1"/>
  <c r="U24"/>
  <c r="E24" s="1"/>
  <c r="U25"/>
  <c r="E25" s="1"/>
  <c r="U19"/>
  <c r="E19" s="1"/>
  <c r="U3"/>
  <c r="E5"/>
  <c r="U23"/>
  <c r="E23" s="1"/>
  <c r="U22"/>
  <c r="E22" s="1"/>
  <c r="U6"/>
  <c r="E6" s="1"/>
  <c r="U38"/>
  <c r="E38" s="1"/>
  <c r="E59"/>
  <c r="G80" i="1" s="1"/>
  <c r="Y44" i="3"/>
  <c r="H44" s="1"/>
  <c r="E58"/>
  <c r="G79" i="1" s="1"/>
  <c r="Y104" i="3"/>
  <c r="Y43"/>
  <c r="H43" s="1"/>
  <c r="Y4"/>
  <c r="Y88"/>
  <c r="U88" s="1"/>
  <c r="E88" s="1"/>
  <c r="E99"/>
  <c r="G99" i="1"/>
  <c r="G101" s="1"/>
  <c r="E98" i="3"/>
  <c r="G93" i="1" s="1"/>
  <c r="G94" s="1"/>
  <c r="G91"/>
  <c r="Y94" i="3"/>
  <c r="U94" s="1"/>
  <c r="E94" s="1"/>
  <c r="Y62"/>
  <c r="U62" s="1"/>
  <c r="E62" s="1"/>
  <c r="Y75"/>
  <c r="U75" s="1"/>
  <c r="E75" s="1"/>
  <c r="Y55"/>
  <c r="U55" s="1"/>
  <c r="E55" s="1"/>
  <c r="Y36"/>
  <c r="U36" s="1"/>
  <c r="E36" s="1"/>
  <c r="Y16"/>
  <c r="U16" s="1"/>
  <c r="E16" s="1"/>
  <c r="Y81"/>
  <c r="U81" s="1"/>
  <c r="E81" s="1"/>
  <c r="Y56"/>
  <c r="U56" s="1"/>
  <c r="Y37"/>
  <c r="U37" s="1"/>
  <c r="E37" s="1"/>
  <c r="Y17"/>
  <c r="U17" s="1"/>
  <c r="E17" s="1"/>
  <c r="Y86"/>
  <c r="U86" s="1"/>
  <c r="E86" s="1"/>
  <c r="Y87"/>
  <c r="U87" s="1"/>
  <c r="E87" s="1"/>
  <c r="E103"/>
  <c r="E100"/>
  <c r="G102" i="1" s="1"/>
  <c r="G103" s="1"/>
  <c r="Y69" i="3"/>
  <c r="U69" s="1"/>
  <c r="E69" s="1"/>
  <c r="G89" i="1"/>
  <c r="G90" s="1"/>
  <c r="Y93" i="3"/>
  <c r="U93" s="1"/>
  <c r="E93" s="1"/>
  <c r="Y14"/>
  <c r="U14" s="1"/>
  <c r="E14" s="1"/>
  <c r="Y85"/>
  <c r="U85" s="1"/>
  <c r="E85" s="1"/>
  <c r="Y70"/>
  <c r="U70" s="1"/>
  <c r="E70" s="1"/>
  <c r="Y41"/>
  <c r="H41" s="1"/>
  <c r="G41" s="1"/>
  <c r="Y18"/>
  <c r="U18" s="1"/>
  <c r="E18" s="1"/>
  <c r="Y9"/>
  <c r="U9" s="1"/>
  <c r="E9" s="1"/>
  <c r="Y71"/>
  <c r="U71" s="1"/>
  <c r="E71" s="1"/>
  <c r="Y42"/>
  <c r="H42" s="1"/>
  <c r="G42" s="1"/>
  <c r="Y21"/>
  <c r="U21" s="1"/>
  <c r="E21" s="1"/>
  <c r="Y15"/>
  <c r="U15" s="1"/>
  <c r="E15" s="1"/>
  <c r="E32"/>
  <c r="G46" i="1" s="1"/>
  <c r="G49" s="1"/>
  <c r="G168"/>
  <c r="E82" i="3"/>
  <c r="G170" i="1" s="1"/>
  <c r="E84" i="3"/>
  <c r="G171" i="1" s="1"/>
  <c r="E76" i="3"/>
  <c r="G167" i="1" s="1"/>
  <c r="E67" i="3"/>
  <c r="G124" i="1" s="1"/>
  <c r="E64" i="3"/>
  <c r="G126" i="1" s="1"/>
  <c r="E65" i="3"/>
  <c r="G127" i="1" s="1"/>
  <c r="G121"/>
  <c r="E57" i="3"/>
  <c r="G78" i="1" s="1"/>
  <c r="E52" i="3"/>
  <c r="E56"/>
  <c r="E49"/>
  <c r="G63" i="1" s="1"/>
  <c r="G65" s="1"/>
  <c r="E48" i="3"/>
  <c r="G62" i="1" s="1"/>
  <c r="G64" s="1"/>
  <c r="E47" i="3"/>
  <c r="G60" i="1" s="1"/>
  <c r="G61" s="1"/>
  <c r="E39" i="3"/>
  <c r="E31"/>
  <c r="G45" i="1" s="1"/>
  <c r="G48" s="1"/>
  <c r="E30" i="3"/>
  <c r="G39" i="1" s="1"/>
  <c r="G40" s="1"/>
  <c r="E34" i="3"/>
  <c r="G41" i="1" s="1"/>
  <c r="V44" i="3"/>
  <c r="K41"/>
  <c r="F41" s="1"/>
  <c r="V41"/>
  <c r="V43"/>
  <c r="V42"/>
  <c r="K43"/>
  <c r="F43" s="1"/>
  <c r="K42"/>
  <c r="F42" s="1"/>
  <c r="K44"/>
  <c r="F44" s="1"/>
  <c r="V72"/>
  <c r="F72" s="1"/>
  <c r="V104"/>
  <c r="V4"/>
  <c r="V102"/>
  <c r="F102" s="1"/>
  <c r="V101"/>
  <c r="F101" s="1"/>
  <c r="V86"/>
  <c r="F86" s="1"/>
  <c r="V88"/>
  <c r="F88" s="1"/>
  <c r="V103"/>
  <c r="F103" s="1"/>
  <c r="V87"/>
  <c r="F87" s="1"/>
  <c r="V99"/>
  <c r="F99" s="1"/>
  <c r="V94"/>
  <c r="F94" s="1"/>
  <c r="V62"/>
  <c r="F62" s="1"/>
  <c r="V20"/>
  <c r="F20" s="1"/>
  <c r="V93"/>
  <c r="F93" s="1"/>
  <c r="V51"/>
  <c r="F51" s="1"/>
  <c r="V40"/>
  <c r="F40" s="1"/>
  <c r="V7"/>
  <c r="F7" s="1"/>
  <c r="V8"/>
  <c r="F8" s="1"/>
  <c r="V54"/>
  <c r="F54" s="1"/>
  <c r="V91"/>
  <c r="F91" s="1"/>
  <c r="V17"/>
  <c r="F17" s="1"/>
  <c r="V37"/>
  <c r="F37" s="1"/>
  <c r="V18"/>
  <c r="F18" s="1"/>
  <c r="V85"/>
  <c r="F85" s="1"/>
  <c r="V75"/>
  <c r="F75" s="1"/>
  <c r="V71"/>
  <c r="F71" s="1"/>
  <c r="V74"/>
  <c r="F74" s="1"/>
  <c r="V73"/>
  <c r="F73" s="1"/>
  <c r="V81"/>
  <c r="F81" s="1"/>
  <c r="V79"/>
  <c r="F79" s="1"/>
  <c r="V70"/>
  <c r="F70" s="1"/>
  <c r="F2"/>
  <c r="V69"/>
  <c r="F69" s="1"/>
  <c r="V68"/>
  <c r="F68" s="1"/>
  <c r="V66"/>
  <c r="F66" s="1"/>
  <c r="V63"/>
  <c r="F63" s="1"/>
  <c r="V55"/>
  <c r="F55" s="1"/>
  <c r="V56"/>
  <c r="F56" s="1"/>
  <c r="V53"/>
  <c r="F53" s="1"/>
  <c r="V50"/>
  <c r="F50" s="1"/>
  <c r="V52"/>
  <c r="F52" s="1"/>
  <c r="V39"/>
  <c r="F39" s="1"/>
  <c r="V25"/>
  <c r="F25" s="1"/>
  <c r="V26"/>
  <c r="F26" s="1"/>
  <c r="V24"/>
  <c r="F24" s="1"/>
  <c r="V19"/>
  <c r="F19" s="1"/>
  <c r="V3"/>
  <c r="V15"/>
  <c r="F15" s="1"/>
  <c r="V21"/>
  <c r="F21" s="1"/>
  <c r="V22"/>
  <c r="F22" s="1"/>
  <c r="V36"/>
  <c r="F36" s="1"/>
  <c r="V23"/>
  <c r="F23" s="1"/>
  <c r="V14"/>
  <c r="F14" s="1"/>
  <c r="V38"/>
  <c r="F38" s="1"/>
  <c r="V6"/>
  <c r="F6" s="1"/>
  <c r="F5"/>
  <c r="V16"/>
  <c r="F16" s="1"/>
  <c r="V9"/>
  <c r="F9" s="1"/>
  <c r="Q52"/>
  <c r="Q50"/>
  <c r="Q51"/>
  <c r="Q102"/>
  <c r="Q103"/>
  <c r="Q86"/>
  <c r="Q99"/>
  <c r="Q62"/>
  <c r="Q55"/>
  <c r="Q17"/>
  <c r="Q15"/>
  <c r="Q88"/>
  <c r="Q87"/>
  <c r="Q56"/>
  <c r="Q18"/>
  <c r="Q16"/>
  <c r="Q20"/>
  <c r="Q19"/>
  <c r="Q54"/>
  <c r="Q53"/>
  <c r="Q85"/>
  <c r="Q91"/>
  <c r="Q74"/>
  <c r="Q79"/>
  <c r="Q63"/>
  <c r="Q66"/>
  <c r="N52"/>
  <c r="N50"/>
  <c r="N51"/>
  <c r="N102"/>
  <c r="N103"/>
  <c r="N88"/>
  <c r="N56"/>
  <c r="N18"/>
  <c r="M18" s="1"/>
  <c r="G18" s="1"/>
  <c r="N16"/>
  <c r="N87"/>
  <c r="M87" s="1"/>
  <c r="G87" s="1"/>
  <c r="N86"/>
  <c r="N99"/>
  <c r="N62"/>
  <c r="N55"/>
  <c r="N17"/>
  <c r="N15"/>
  <c r="N19"/>
  <c r="N20"/>
  <c r="N54"/>
  <c r="M54" s="1"/>
  <c r="G54" s="1"/>
  <c r="N53"/>
  <c r="N91"/>
  <c r="N85"/>
  <c r="N79"/>
  <c r="N74"/>
  <c r="N66"/>
  <c r="N63"/>
  <c r="M62" l="1"/>
  <c r="G125" i="1"/>
  <c r="M53" i="3"/>
  <c r="G53" s="1"/>
  <c r="M16"/>
  <c r="G16" s="1"/>
  <c r="M56"/>
  <c r="G56" s="1"/>
  <c r="M63"/>
  <c r="G63" s="1"/>
  <c r="M2"/>
  <c r="G2" s="1"/>
  <c r="G7" i="1" s="1"/>
  <c r="M79" i="3"/>
  <c r="G79" s="1"/>
  <c r="G169" i="1" s="1"/>
  <c r="M91" i="3"/>
  <c r="G91" s="1"/>
  <c r="G76" i="1" s="1"/>
  <c r="G77" s="1"/>
  <c r="M19" i="3"/>
  <c r="G19" s="1"/>
  <c r="G83" i="1" s="1"/>
  <c r="M15" i="3"/>
  <c r="G15" s="1"/>
  <c r="M55"/>
  <c r="G55" s="1"/>
  <c r="G71" i="1" s="1"/>
  <c r="G73" s="1"/>
  <c r="M99" i="3"/>
  <c r="G99" s="1"/>
  <c r="M88"/>
  <c r="G88" s="1"/>
  <c r="G110" i="1" s="1"/>
  <c r="G114" s="1"/>
  <c r="M102" i="3"/>
  <c r="G102" s="1"/>
  <c r="M50"/>
  <c r="G50" s="1"/>
  <c r="G66" i="1" s="1"/>
  <c r="M85" i="3"/>
  <c r="G85" s="1"/>
  <c r="G107" i="1" s="1"/>
  <c r="G111" s="1"/>
  <c r="M20" i="3"/>
  <c r="G20" s="1"/>
  <c r="G84" i="1" s="1"/>
  <c r="M9" i="3"/>
  <c r="G9" s="1"/>
  <c r="G13" i="1" s="1"/>
  <c r="G14" s="1"/>
  <c r="M17" i="3"/>
  <c r="G17" s="1"/>
  <c r="G62"/>
  <c r="M86"/>
  <c r="G86" s="1"/>
  <c r="G108" i="1" s="1"/>
  <c r="G112" s="1"/>
  <c r="M66" i="3"/>
  <c r="G66" s="1"/>
  <c r="G158" i="1" s="1"/>
  <c r="G159" s="1"/>
  <c r="M74" i="3"/>
  <c r="G74" s="1"/>
  <c r="G72" i="1"/>
  <c r="G74" s="1"/>
  <c r="M103" i="3"/>
  <c r="G103" s="1"/>
  <c r="M51"/>
  <c r="G51" s="1"/>
  <c r="G67" i="1" s="1"/>
  <c r="M52" i="3"/>
  <c r="G52" s="1"/>
  <c r="G68" i="1" s="1"/>
  <c r="F3" i="3"/>
  <c r="G146" i="1"/>
  <c r="G147" s="1"/>
  <c r="G19"/>
  <c r="G20" s="1"/>
  <c r="G132"/>
  <c r="G157"/>
  <c r="G142"/>
  <c r="G82"/>
  <c r="G106"/>
  <c r="G105"/>
  <c r="U42" i="3"/>
  <c r="U43"/>
  <c r="G23" i="1"/>
  <c r="G26"/>
  <c r="G30" s="1"/>
  <c r="G10"/>
  <c r="G29"/>
  <c r="G33" s="1"/>
  <c r="G52"/>
  <c r="G69"/>
  <c r="J69" s="1"/>
  <c r="G136"/>
  <c r="G150"/>
  <c r="G144"/>
  <c r="G44"/>
  <c r="G70"/>
  <c r="J70" s="1"/>
  <c r="G12"/>
  <c r="G53"/>
  <c r="G104"/>
  <c r="D42" i="3"/>
  <c r="G56" i="1"/>
  <c r="U4" i="3"/>
  <c r="H4"/>
  <c r="U104"/>
  <c r="H104"/>
  <c r="G21" i="1"/>
  <c r="G120"/>
  <c r="G153"/>
  <c r="G154" s="1"/>
  <c r="G117"/>
  <c r="G148"/>
  <c r="G149" s="1"/>
  <c r="G81"/>
  <c r="G22"/>
  <c r="G109"/>
  <c r="G113" s="1"/>
  <c r="G97"/>
  <c r="E3" i="3"/>
  <c r="G137" i="1" s="1"/>
  <c r="U41" i="3"/>
  <c r="U44"/>
  <c r="E41"/>
  <c r="E42"/>
  <c r="G43" i="1"/>
  <c r="G11"/>
  <c r="G51"/>
  <c r="G24"/>
  <c r="G25" s="1"/>
  <c r="G28"/>
  <c r="G32" s="1"/>
  <c r="G27"/>
  <c r="G31" s="1"/>
  <c r="G123"/>
  <c r="G119"/>
  <c r="G143"/>
  <c r="G162"/>
  <c r="G163" s="1"/>
  <c r="G139"/>
  <c r="G141"/>
  <c r="G122"/>
  <c r="G87"/>
  <c r="N93" i="3" s="1"/>
  <c r="G96" i="1"/>
  <c r="D41" i="3"/>
  <c r="G57" i="1"/>
  <c r="G88" l="1"/>
  <c r="M93" i="3"/>
  <c r="G93" s="1"/>
  <c r="G85" i="1" s="1"/>
  <c r="G86" s="1"/>
  <c r="G118"/>
  <c r="G133"/>
  <c r="G134" s="1"/>
  <c r="G140"/>
  <c r="G128"/>
  <c r="G8"/>
  <c r="G104" i="3"/>
  <c r="D104"/>
  <c r="E104"/>
  <c r="F104"/>
  <c r="F4"/>
  <c r="G4"/>
  <c r="D4"/>
  <c r="E4"/>
  <c r="G145" i="1"/>
  <c r="G54"/>
  <c r="G131"/>
  <c r="G55"/>
  <c r="G129" l="1"/>
  <c r="G138"/>
  <c r="G9"/>
  <c r="G95"/>
</calcChain>
</file>

<file path=xl/comments1.xml><?xml version="1.0" encoding="utf-8"?>
<comments xmlns="http://schemas.openxmlformats.org/spreadsheetml/2006/main">
  <authors>
    <author>Mm반정선생</author>
  </authors>
  <commentList>
    <comment ref="M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성균관의대
탐구3과목유지</t>
        </r>
      </text>
    </comment>
    <comment ref="N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 가산점 추가
3%</t>
        </r>
      </text>
    </comment>
    <comment ref="AF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반영비율변경
외국어20-&gt;30
탐구30-&gt;20</t>
        </r>
      </text>
    </comment>
    <comment ref="AD1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언외택1(30)+수리(40)+외궈(30)-&gt;20:30:20:30으로 변화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수능반영총점
</t>
        </r>
        <r>
          <rPr>
            <sz val="9"/>
            <color indexed="81"/>
            <rFont val="Tahoma"/>
            <family val="2"/>
          </rPr>
          <t>600-&gt;700</t>
        </r>
      </text>
    </comment>
    <comment ref="X1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언수외표점200,과탐100
-&gt;언수외표점최고,
과탐 보정최고점으로..</t>
        </r>
      </text>
    </comment>
    <comment ref="AD1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15:30:30:25
-&gt;20:30:30:20</t>
        </r>
      </text>
    </comment>
    <comment ref="AF2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외국어35-&gt;30
탐구15-&gt;20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수리가-&gt;수리가/나</t>
        </r>
      </text>
    </comment>
    <comment ref="AD3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반영비율수정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자연과학대학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정보통계학과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건축공학과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파이버시스템공학과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화학공학과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정보통계학과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건축학과</t>
        </r>
        <r>
          <rPr>
            <sz val="9"/>
            <color indexed="81"/>
            <rFont val="Tahoma"/>
            <family val="2"/>
          </rPr>
          <t>(5</t>
        </r>
        <r>
          <rPr>
            <sz val="9"/>
            <color indexed="81"/>
            <rFont val="돋움"/>
            <family val="3"/>
            <charset val="129"/>
          </rPr>
          <t>년제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공과대학</t>
        </r>
        <r>
          <rPr>
            <sz val="9"/>
            <color indexed="81"/>
            <rFont val="Tahoma"/>
            <family val="2"/>
          </rPr>
          <t>[</t>
        </r>
        <r>
          <rPr>
            <sz val="9"/>
            <color indexed="81"/>
            <rFont val="돋움"/>
            <family val="3"/>
            <charset val="129"/>
          </rPr>
          <t>파이버시스템공학과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화학공학과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]
</t>
        </r>
        <r>
          <rPr>
            <sz val="9"/>
            <color indexed="81"/>
            <rFont val="돋움"/>
            <family val="3"/>
            <charset val="129"/>
          </rPr>
          <t>수학교육과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과학교육과
</t>
        </r>
      </text>
    </comment>
    <comment ref="AD3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반영비율
</t>
        </r>
        <r>
          <rPr>
            <sz val="9"/>
            <color indexed="81"/>
            <rFont val="Tahoma"/>
            <family val="2"/>
          </rPr>
          <t>10:38:32:20
-&gt;15:35:35:15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기계공학부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화공∙신소재공학부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응용화학생명공학부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환경건설교통공학부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자연과학부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사회과학부</t>
        </r>
      </text>
    </comment>
    <comment ref="X4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표점200-&gt;
표점최고점사용</t>
        </r>
      </text>
    </comment>
    <comment ref="AD4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반영비율대폭변화
좋은과목순-&gt;고정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산업정보시스템공학부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건축학부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정보컴퓨터공학부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미디어학부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 xml:space="preserve">간호학부
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기계공학부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화공∙신소재공학부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응용화학생명공학부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환경건설교통공학부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자연과학부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사회과학부</t>
        </r>
      </text>
    </comment>
    <comment ref="X4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표점200-&gt;
표점최고점사용</t>
        </r>
      </text>
    </comment>
    <comment ref="AD4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반영비율대폭변화
좋은과목순-&gt;고정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산업정보시스템공학부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건축학부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정보컴퓨터공학부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미디어학부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 xml:space="preserve">간호학부
</t>
        </r>
      </text>
    </comment>
    <comment ref="AD4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수외탐1/3에서
17:33:33:17로..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수능총점600-&gt;900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가형가산+15%
-&gt;가산+15점으로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과탐가산+15%
-&gt;가산+15점으로</t>
        </r>
      </text>
    </comment>
    <comment ref="AE4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반영비율변화
수리</t>
        </r>
        <r>
          <rPr>
            <sz val="9"/>
            <color indexed="81"/>
            <rFont val="Tahoma"/>
            <family val="2"/>
          </rPr>
          <t xml:space="preserve">40-&gt;50
</t>
        </r>
        <r>
          <rPr>
            <sz val="9"/>
            <color indexed="81"/>
            <rFont val="돋움"/>
            <family val="3"/>
            <charset val="129"/>
          </rPr>
          <t>탐구30-&gt;20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계열별모집에서 학과별모집으로 변화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반영총점600-&gt;800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전자공학과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전자통신공학과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전자융합공학과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컴퓨터공학과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컴퓨터소프트웨어학과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전기공학과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전자재료공학과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로봇학부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건축학과</t>
        </r>
        <r>
          <rPr>
            <sz val="9"/>
            <color indexed="81"/>
            <rFont val="Tahoma"/>
            <family val="2"/>
          </rPr>
          <t>(5</t>
        </r>
        <r>
          <rPr>
            <sz val="9"/>
            <color indexed="81"/>
            <rFont val="돋움"/>
            <family val="3"/>
            <charset val="129"/>
          </rPr>
          <t>년제</t>
        </r>
        <r>
          <rPr>
            <sz val="9"/>
            <color indexed="81"/>
            <rFont val="Tahoma"/>
            <family val="2"/>
          </rPr>
          <t>),</t>
        </r>
        <r>
          <rPr>
            <sz val="9"/>
            <color indexed="81"/>
            <rFont val="돋움"/>
            <family val="3"/>
            <charset val="129"/>
          </rPr>
          <t>건축공학과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화학공학과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 xml:space="preserve">환경공학과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수능총점700-&gt;900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분리 신설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가군만 모집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수리가1등급+5
수리가2등급+3 총점에..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과탐2과목 평균1    +5
               평균1.5 +4
               평균2   +3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가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나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사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과탐 경쟁으로 변화</t>
        </r>
      </text>
    </comment>
    <comment ref="AD6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반영비율변화
</t>
        </r>
        <r>
          <rPr>
            <sz val="9"/>
            <color indexed="81"/>
            <rFont val="Tahoma"/>
            <family val="2"/>
          </rPr>
          <t>25:30:30:20
-&gt;25:25:25:25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반영총점400
-&gt;기본점수350+실질반영50으로 변경</t>
        </r>
      </text>
    </comment>
    <comment ref="M72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과탐3과목-&gt;과탐2과목</t>
        </r>
      </text>
    </comment>
    <comment ref="M7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과탐3과목-&gt;과탐2과목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수능총점950-&gt;1000
학생부 제외</t>
        </r>
      </text>
    </comment>
    <comment ref="B85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건축학부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토목공학과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환경공학과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에너지자원공학과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기계시스템공학부</t>
        </r>
        <r>
          <rPr>
            <sz val="9"/>
            <color indexed="81"/>
            <rFont val="Tahoma"/>
            <family val="2"/>
          </rPr>
          <t xml:space="preserve">, 
</t>
        </r>
        <r>
          <rPr>
            <sz val="9"/>
            <color indexed="81"/>
            <rFont val="돋움"/>
            <family val="3"/>
            <charset val="129"/>
          </rPr>
          <t>신소재공학부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응용화학공학부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고분자</t>
        </r>
        <r>
          <rPr>
            <sz val="9"/>
            <color indexed="81"/>
            <rFont val="Tahoma"/>
            <family val="2"/>
          </rPr>
          <t>․</t>
        </r>
        <r>
          <rPr>
            <sz val="9"/>
            <color indexed="81"/>
            <rFont val="돋움"/>
            <family val="3"/>
            <charset val="129"/>
          </rPr>
          <t>섬유시스템공학과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산업공학과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전기공학과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물리교육과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화학교육과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생물교육과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지구과학교육과
</t>
        </r>
      </text>
    </comment>
    <comment ref="B86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간호학과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식물생명공학부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응용생물공학부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지역</t>
        </r>
        <r>
          <rPr>
            <sz val="9"/>
            <color indexed="81"/>
            <rFont val="Tahoma"/>
            <family val="2"/>
          </rPr>
          <t>․</t>
        </r>
        <r>
          <rPr>
            <sz val="9"/>
            <color indexed="81"/>
            <rFont val="돋움"/>
            <family val="3"/>
            <charset val="129"/>
          </rPr>
          <t>바이오시스템공학과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가정교육과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식품영양학과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의류학과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 xml:space="preserve">통계학과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생명과학기술학부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전자컴퓨터공학부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바이오에너지공학과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지구환경과학부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생물학과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화학과
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수학교육과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수학과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물리학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생활환경복지학과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산림자원학부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조경학과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동물자원학부
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정보통계학과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수학교육과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의예과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수의예과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자연과학대학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수학과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정보통계학과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), </t>
        </r>
        <r>
          <rPr>
            <sz val="9"/>
            <color indexed="81"/>
            <rFont val="돋움"/>
            <family val="3"/>
            <charset val="129"/>
          </rPr>
          <t>공과대학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전자정보대학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사범대학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수학교육과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), </t>
        </r>
        <r>
          <rPr>
            <sz val="9"/>
            <color indexed="81"/>
            <rFont val="돋움"/>
            <family val="3"/>
            <charset val="129"/>
          </rPr>
          <t>농업생명환경대학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생활과학대학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모집단위
</t>
        </r>
      </text>
    </comment>
    <comment ref="N9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 가산점 추가
3%</t>
        </r>
      </text>
    </comment>
    <comment ref="AF9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반영비율변경
외국어20-&gt;30
탐구30-&gt;20</t>
        </r>
      </text>
    </comment>
    <comment ref="C9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수능반영총점
</t>
        </r>
        <r>
          <rPr>
            <sz val="9"/>
            <color indexed="81"/>
            <rFont val="Tahoma"/>
            <family val="2"/>
          </rPr>
          <t>600-&gt;700</t>
        </r>
      </text>
    </comment>
    <comment ref="X9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언수외표점200,과탐100
-&gt;언수외표점최고,
과탐 보정최고점으로..</t>
        </r>
      </text>
    </comment>
    <comment ref="AD94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15:30:30:25
-&gt;20:30:30:20</t>
        </r>
      </text>
    </comment>
    <comment ref="C101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기본점수200-&gt;0</t>
        </r>
      </text>
    </comment>
    <comment ref="B103" authorId="0">
      <text>
        <r>
          <rPr>
            <b/>
            <sz val="9"/>
            <color indexed="81"/>
            <rFont val="Tahoma"/>
            <family val="2"/>
          </rPr>
          <t>Mm</t>
        </r>
        <r>
          <rPr>
            <b/>
            <sz val="9"/>
            <color indexed="81"/>
            <rFont val="돋움"/>
            <family val="3"/>
            <charset val="129"/>
          </rPr>
          <t>반정선생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의류학과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식품영양학과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 xml:space="preserve">
주거환경학과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식물생명과학과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원예생명과학과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동물생명자원과학과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식품공학과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생명환경화학과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바이오소재과학과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바이오산업기계공학과</t>
        </r>
        <r>
          <rPr>
            <sz val="9"/>
            <color indexed="81"/>
            <rFont val="Tahoma"/>
            <family val="2"/>
          </rPr>
          <t>,IT</t>
        </r>
        <r>
          <rPr>
            <sz val="9"/>
            <color indexed="81"/>
            <rFont val="돋움"/>
            <family val="3"/>
            <charset val="129"/>
          </rPr>
          <t>응용공학과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바이오환경에너지학과
조경학과</t>
        </r>
      </text>
    </comment>
  </commentList>
</comments>
</file>

<file path=xl/sharedStrings.xml><?xml version="1.0" encoding="utf-8"?>
<sst xmlns="http://schemas.openxmlformats.org/spreadsheetml/2006/main" count="629" uniqueCount="517">
  <si>
    <t>성명</t>
    <phoneticPr fontId="1" type="noConversion"/>
  </si>
  <si>
    <t>언어</t>
    <phoneticPr fontId="1" type="noConversion"/>
  </si>
  <si>
    <t>수리</t>
    <phoneticPr fontId="1" type="noConversion"/>
  </si>
  <si>
    <t>외국어</t>
    <phoneticPr fontId="1" type="noConversion"/>
  </si>
  <si>
    <t>탐구영역</t>
    <phoneticPr fontId="1" type="noConversion"/>
  </si>
  <si>
    <t>대학</t>
    <phoneticPr fontId="1" type="noConversion"/>
  </si>
  <si>
    <t>학과</t>
    <phoneticPr fontId="1" type="noConversion"/>
  </si>
  <si>
    <t>유형</t>
    <phoneticPr fontId="1" type="noConversion"/>
  </si>
  <si>
    <t>백분위</t>
    <phoneticPr fontId="1" type="noConversion"/>
  </si>
  <si>
    <t>고려대</t>
    <phoneticPr fontId="1" type="noConversion"/>
  </si>
  <si>
    <t>이화여대1</t>
    <phoneticPr fontId="1" type="noConversion"/>
  </si>
  <si>
    <t>이화여대2</t>
    <phoneticPr fontId="1" type="noConversion"/>
  </si>
  <si>
    <t>이화여대3</t>
    <phoneticPr fontId="1" type="noConversion"/>
  </si>
  <si>
    <t>이화여대4</t>
    <phoneticPr fontId="1" type="noConversion"/>
  </si>
  <si>
    <t>경희대1</t>
    <phoneticPr fontId="1" type="noConversion"/>
  </si>
  <si>
    <t>경희대2</t>
    <phoneticPr fontId="1" type="noConversion"/>
  </si>
  <si>
    <t>표점</t>
    <phoneticPr fontId="1" type="noConversion"/>
  </si>
  <si>
    <t>백분위</t>
    <phoneticPr fontId="1" type="noConversion"/>
  </si>
  <si>
    <t>분류</t>
    <phoneticPr fontId="1" type="noConversion"/>
  </si>
  <si>
    <t>시립대</t>
    <phoneticPr fontId="1" type="noConversion"/>
  </si>
  <si>
    <t>건국대</t>
    <phoneticPr fontId="1" type="noConversion"/>
  </si>
  <si>
    <t>동국대1</t>
    <phoneticPr fontId="1" type="noConversion"/>
  </si>
  <si>
    <t>홍익대1</t>
    <phoneticPr fontId="1" type="noConversion"/>
  </si>
  <si>
    <t>홍익대2</t>
    <phoneticPr fontId="1" type="noConversion"/>
  </si>
  <si>
    <t>국민대</t>
    <phoneticPr fontId="1" type="noConversion"/>
  </si>
  <si>
    <t>아주대1</t>
    <phoneticPr fontId="1" type="noConversion"/>
  </si>
  <si>
    <t>아주대2</t>
    <phoneticPr fontId="1" type="noConversion"/>
  </si>
  <si>
    <t>모집
유형</t>
  </si>
  <si>
    <t>총점</t>
  </si>
  <si>
    <t>언</t>
  </si>
  <si>
    <t>수</t>
  </si>
  <si>
    <t>외</t>
  </si>
  <si>
    <t>탐구</t>
  </si>
  <si>
    <t>총점대비
영역배점</t>
  </si>
  <si>
    <t>탐구
제2외보정</t>
  </si>
  <si>
    <t>탐1</t>
  </si>
  <si>
    <t>탐2</t>
  </si>
  <si>
    <t>탐3</t>
  </si>
  <si>
    <t>탐4</t>
  </si>
  <si>
    <t>제2외국어</t>
  </si>
  <si>
    <t>환산표점
취득률</t>
  </si>
  <si>
    <t>취득률
분모표점</t>
  </si>
  <si>
    <t>탐</t>
  </si>
  <si>
    <t>반영비율</t>
  </si>
  <si>
    <t>특이사항</t>
  </si>
  <si>
    <t>연세대</t>
  </si>
  <si>
    <t>전체</t>
  </si>
  <si>
    <t>고려대</t>
  </si>
  <si>
    <t>이화여대1</t>
  </si>
  <si>
    <t>이화여대2</t>
  </si>
  <si>
    <t>이화여대3</t>
  </si>
  <si>
    <t>이화여대4</t>
  </si>
  <si>
    <t>경희대1</t>
  </si>
  <si>
    <t>경희대2</t>
  </si>
  <si>
    <t>시립대</t>
  </si>
  <si>
    <t>건국대</t>
  </si>
  <si>
    <t>동국대1</t>
  </si>
  <si>
    <t>홍익대1</t>
  </si>
  <si>
    <t>홍익대2</t>
  </si>
  <si>
    <t>국민대</t>
  </si>
  <si>
    <t>아주대1</t>
  </si>
  <si>
    <t>아주대2</t>
  </si>
  <si>
    <t>서울대</t>
  </si>
  <si>
    <t>서울대</t>
    <phoneticPr fontId="1" type="noConversion"/>
  </si>
  <si>
    <t>표준점수</t>
    <phoneticPr fontId="1" type="noConversion"/>
  </si>
  <si>
    <t>항공대</t>
    <phoneticPr fontId="1" type="noConversion"/>
  </si>
  <si>
    <t>언어</t>
    <phoneticPr fontId="1" type="noConversion"/>
  </si>
  <si>
    <t>서강대</t>
    <phoneticPr fontId="1" type="noConversion"/>
  </si>
  <si>
    <t>한양대</t>
    <phoneticPr fontId="1" type="noConversion"/>
  </si>
  <si>
    <t>중앙대</t>
    <phoneticPr fontId="1" type="noConversion"/>
  </si>
  <si>
    <t>동국대2</t>
    <phoneticPr fontId="1" type="noConversion"/>
  </si>
  <si>
    <t>동국대3</t>
    <phoneticPr fontId="1" type="noConversion"/>
  </si>
  <si>
    <t>동국대4</t>
    <phoneticPr fontId="1" type="noConversion"/>
  </si>
  <si>
    <t>인하대1</t>
    <phoneticPr fontId="1" type="noConversion"/>
  </si>
  <si>
    <t>인하대2</t>
    <phoneticPr fontId="1" type="noConversion"/>
  </si>
  <si>
    <t>가형과탐</t>
    <phoneticPr fontId="1" type="noConversion"/>
  </si>
  <si>
    <t>명지대</t>
    <phoneticPr fontId="1" type="noConversion"/>
  </si>
  <si>
    <t>서경대</t>
    <phoneticPr fontId="1" type="noConversion"/>
  </si>
  <si>
    <t>한성대</t>
    <phoneticPr fontId="1" type="noConversion"/>
  </si>
  <si>
    <t>삼육대1</t>
    <phoneticPr fontId="1" type="noConversion"/>
  </si>
  <si>
    <t>삼육대2</t>
    <phoneticPr fontId="1" type="noConversion"/>
  </si>
  <si>
    <t>광운대1</t>
    <phoneticPr fontId="1" type="noConversion"/>
  </si>
  <si>
    <t>광운대2</t>
    <phoneticPr fontId="1" type="noConversion"/>
  </si>
  <si>
    <t>광운대3</t>
    <phoneticPr fontId="1" type="noConversion"/>
  </si>
  <si>
    <t>가산없음</t>
    <phoneticPr fontId="1" type="noConversion"/>
  </si>
  <si>
    <t>가톨릭1</t>
    <phoneticPr fontId="1" type="noConversion"/>
  </si>
  <si>
    <t>가톨릭2</t>
    <phoneticPr fontId="1" type="noConversion"/>
  </si>
  <si>
    <t>가형만</t>
    <phoneticPr fontId="1" type="noConversion"/>
  </si>
  <si>
    <t>동신대</t>
    <phoneticPr fontId="1" type="noConversion"/>
  </si>
  <si>
    <t>동국대경주</t>
    <phoneticPr fontId="1" type="noConversion"/>
  </si>
  <si>
    <t>우석대</t>
    <phoneticPr fontId="1" type="noConversion"/>
  </si>
  <si>
    <t>대전대</t>
    <phoneticPr fontId="1" type="noConversion"/>
  </si>
  <si>
    <t>대구한의대</t>
    <phoneticPr fontId="1" type="noConversion"/>
  </si>
  <si>
    <t>동의대</t>
    <phoneticPr fontId="1" type="noConversion"/>
  </si>
  <si>
    <t>세명대</t>
    <phoneticPr fontId="1" type="noConversion"/>
  </si>
  <si>
    <t>상지대</t>
    <phoneticPr fontId="1" type="noConversion"/>
  </si>
  <si>
    <t>가/나분할</t>
    <phoneticPr fontId="1" type="noConversion"/>
  </si>
  <si>
    <t>가산없음</t>
    <phoneticPr fontId="1" type="noConversion"/>
  </si>
  <si>
    <t>가/나가능</t>
    <phoneticPr fontId="1" type="noConversion"/>
  </si>
  <si>
    <t>연세대</t>
    <phoneticPr fontId="1" type="noConversion"/>
  </si>
  <si>
    <t>단국대천안</t>
    <phoneticPr fontId="1" type="noConversion"/>
  </si>
  <si>
    <t>원광대</t>
    <phoneticPr fontId="1" type="noConversion"/>
  </si>
  <si>
    <t>원광대</t>
    <phoneticPr fontId="1" type="noConversion"/>
  </si>
  <si>
    <t>ㅑ</t>
    <phoneticPr fontId="1" type="noConversion"/>
  </si>
  <si>
    <t>수교</t>
    <phoneticPr fontId="1" type="noConversion"/>
  </si>
  <si>
    <t>과교</t>
    <phoneticPr fontId="1" type="noConversion"/>
  </si>
  <si>
    <t>간호</t>
    <phoneticPr fontId="1" type="noConversion"/>
  </si>
  <si>
    <t>의약</t>
    <phoneticPr fontId="1" type="noConversion"/>
  </si>
  <si>
    <t>전체</t>
    <phoneticPr fontId="1" type="noConversion"/>
  </si>
  <si>
    <t>한의</t>
    <phoneticPr fontId="1" type="noConversion"/>
  </si>
  <si>
    <t>한의대모음</t>
    <phoneticPr fontId="1" type="noConversion"/>
  </si>
  <si>
    <t>치의예과모음</t>
    <phoneticPr fontId="1" type="noConversion"/>
  </si>
  <si>
    <t>의예과모음</t>
    <phoneticPr fontId="1" type="noConversion"/>
  </si>
  <si>
    <t>의예</t>
    <phoneticPr fontId="1" type="noConversion"/>
  </si>
  <si>
    <t>나형-5점</t>
    <phoneticPr fontId="1" type="noConversion"/>
  </si>
  <si>
    <t>사탐-5점</t>
    <phoneticPr fontId="1" type="noConversion"/>
  </si>
  <si>
    <t>기본점수350점</t>
    <phoneticPr fontId="1" type="noConversion"/>
  </si>
  <si>
    <t>언어에..</t>
    <phoneticPr fontId="1" type="noConversion"/>
  </si>
  <si>
    <t>가형+12점</t>
    <phoneticPr fontId="1" type="noConversion"/>
  </si>
  <si>
    <t>물2,화2+3점</t>
    <phoneticPr fontId="1" type="noConversion"/>
  </si>
  <si>
    <t>비교내신 적용시 가중치 없음</t>
    <phoneticPr fontId="1" type="noConversion"/>
  </si>
  <si>
    <t>과탐+5%</t>
    <phoneticPr fontId="1" type="noConversion"/>
  </si>
  <si>
    <t>의예</t>
    <phoneticPr fontId="1" type="noConversion"/>
  </si>
  <si>
    <t>가형5%</t>
    <phoneticPr fontId="1" type="noConversion"/>
  </si>
  <si>
    <t>가형15%</t>
    <phoneticPr fontId="1" type="noConversion"/>
  </si>
  <si>
    <t>생2,화2 각5%씩</t>
    <phoneticPr fontId="1" type="noConversion"/>
  </si>
  <si>
    <t>모든2과목10%</t>
    <phoneticPr fontId="1" type="noConversion"/>
  </si>
  <si>
    <t>기본점수400점</t>
    <phoneticPr fontId="1" type="noConversion"/>
  </si>
  <si>
    <t>언어에..</t>
    <phoneticPr fontId="1" type="noConversion"/>
  </si>
  <si>
    <t>단국대1</t>
    <phoneticPr fontId="1" type="noConversion"/>
  </si>
  <si>
    <t>단국대2</t>
    <phoneticPr fontId="1" type="noConversion"/>
  </si>
  <si>
    <t>가/나</t>
    <phoneticPr fontId="1" type="noConversion"/>
  </si>
  <si>
    <t>가형+10%</t>
    <phoneticPr fontId="1" type="noConversion"/>
  </si>
  <si>
    <t>가형+5%</t>
    <phoneticPr fontId="1" type="noConversion"/>
  </si>
  <si>
    <t>정시처음</t>
    <phoneticPr fontId="1" type="noConversion"/>
  </si>
  <si>
    <t>가형+5%</t>
    <phoneticPr fontId="1" type="noConversion"/>
  </si>
  <si>
    <t>가형만</t>
    <phoneticPr fontId="1" type="noConversion"/>
  </si>
  <si>
    <t>숙명여대</t>
    <phoneticPr fontId="1" type="noConversion"/>
  </si>
  <si>
    <t>전체</t>
    <phoneticPr fontId="1" type="noConversion"/>
  </si>
  <si>
    <t>자연2</t>
    <phoneticPr fontId="1" type="noConversion"/>
  </si>
  <si>
    <t>경희대국제1</t>
    <phoneticPr fontId="1" type="noConversion"/>
  </si>
  <si>
    <t>경희대국제2</t>
    <phoneticPr fontId="1" type="noConversion"/>
  </si>
  <si>
    <t>공대,주요</t>
    <phoneticPr fontId="1" type="noConversion"/>
  </si>
  <si>
    <t>식품,부수</t>
    <phoneticPr fontId="1" type="noConversion"/>
  </si>
  <si>
    <t>서울대</t>
    <phoneticPr fontId="1" type="noConversion"/>
  </si>
  <si>
    <t>연세대</t>
    <phoneticPr fontId="1" type="noConversion"/>
  </si>
  <si>
    <t>고려대</t>
    <phoneticPr fontId="1" type="noConversion"/>
  </si>
  <si>
    <t>울산대</t>
    <phoneticPr fontId="1" type="noConversion"/>
  </si>
  <si>
    <t>한양대</t>
    <phoneticPr fontId="1" type="noConversion"/>
  </si>
  <si>
    <t>경희대1</t>
    <phoneticPr fontId="1" type="noConversion"/>
  </si>
  <si>
    <t>인제대</t>
    <phoneticPr fontId="1" type="noConversion"/>
  </si>
  <si>
    <t>한림대</t>
    <phoneticPr fontId="1" type="noConversion"/>
  </si>
  <si>
    <t>중앙대</t>
    <phoneticPr fontId="1" type="noConversion"/>
  </si>
  <si>
    <t>동국대경주</t>
    <phoneticPr fontId="1" type="noConversion"/>
  </si>
  <si>
    <t>영남대</t>
    <phoneticPr fontId="1" type="noConversion"/>
  </si>
  <si>
    <t>단국대천안</t>
    <phoneticPr fontId="1" type="noConversion"/>
  </si>
  <si>
    <t>동아대</t>
    <phoneticPr fontId="1" type="noConversion"/>
  </si>
  <si>
    <t>원광대</t>
    <phoneticPr fontId="1" type="noConversion"/>
  </si>
  <si>
    <t>계명대</t>
    <phoneticPr fontId="1" type="noConversion"/>
  </si>
  <si>
    <t>대구가톨릭대</t>
    <phoneticPr fontId="1" type="noConversion"/>
  </si>
  <si>
    <t>관동대</t>
    <phoneticPr fontId="1" type="noConversion"/>
  </si>
  <si>
    <t>순천향대</t>
    <phoneticPr fontId="1" type="noConversion"/>
  </si>
  <si>
    <t>을지대</t>
    <phoneticPr fontId="1" type="noConversion"/>
  </si>
  <si>
    <t>건양대</t>
    <phoneticPr fontId="1" type="noConversion"/>
  </si>
  <si>
    <t>고신대</t>
  </si>
  <si>
    <t>이과 수능 환산점수 계산</t>
    <phoneticPr fontId="1" type="noConversion"/>
  </si>
  <si>
    <t>전체</t>
    <phoneticPr fontId="1" type="noConversion"/>
  </si>
  <si>
    <t>가형+10%</t>
    <phoneticPr fontId="1" type="noConversion"/>
  </si>
  <si>
    <t>과탐+2%</t>
    <phoneticPr fontId="1" type="noConversion"/>
  </si>
  <si>
    <t>국사+3%</t>
    <phoneticPr fontId="1" type="noConversion"/>
  </si>
  <si>
    <t>의예</t>
    <phoneticPr fontId="1" type="noConversion"/>
  </si>
  <si>
    <t>독특</t>
    <phoneticPr fontId="1" type="noConversion"/>
  </si>
  <si>
    <t>언수외표점</t>
    <phoneticPr fontId="1" type="noConversion"/>
  </si>
  <si>
    <t>탐구</t>
    <phoneticPr fontId="1" type="noConversion"/>
  </si>
  <si>
    <t>보정</t>
    <phoneticPr fontId="1" type="noConversion"/>
  </si>
  <si>
    <t>최고점</t>
    <phoneticPr fontId="1" type="noConversion"/>
  </si>
  <si>
    <t>보정/최고</t>
    <phoneticPr fontId="1" type="noConversion"/>
  </si>
  <si>
    <t>언수외탐</t>
    <phoneticPr fontId="1" type="noConversion"/>
  </si>
  <si>
    <t>백분위</t>
    <phoneticPr fontId="1" type="noConversion"/>
  </si>
  <si>
    <t>표점최</t>
    <phoneticPr fontId="1" type="noConversion"/>
  </si>
  <si>
    <t>언수외탐표점</t>
    <phoneticPr fontId="1" type="noConversion"/>
  </si>
  <si>
    <t>200&amp;100</t>
    <phoneticPr fontId="1" type="noConversion"/>
  </si>
  <si>
    <t>단국대3</t>
    <phoneticPr fontId="1" type="noConversion"/>
  </si>
  <si>
    <t>사범,기타공대</t>
    <phoneticPr fontId="1" type="noConversion"/>
  </si>
  <si>
    <t>정보통계,건축학</t>
    <phoneticPr fontId="1" type="noConversion"/>
  </si>
  <si>
    <t>자연,화학,파이버,건축공</t>
    <phoneticPr fontId="1" type="noConversion"/>
  </si>
  <si>
    <t>가형+10%</t>
    <phoneticPr fontId="1" type="noConversion"/>
  </si>
  <si>
    <t>과탐+5%</t>
    <phoneticPr fontId="1" type="noConversion"/>
  </si>
  <si>
    <t>과탐+10%</t>
    <phoneticPr fontId="1" type="noConversion"/>
  </si>
  <si>
    <t>가정교육</t>
    <phoneticPr fontId="1" type="noConversion"/>
  </si>
  <si>
    <t>컴퓨터,정통,멀티</t>
    <phoneticPr fontId="1" type="noConversion"/>
  </si>
  <si>
    <t>바이오시스템</t>
    <phoneticPr fontId="1" type="noConversion"/>
  </si>
  <si>
    <t>가형+5%</t>
    <phoneticPr fontId="1" type="noConversion"/>
  </si>
  <si>
    <t>전체</t>
    <phoneticPr fontId="1" type="noConversion"/>
  </si>
  <si>
    <t>자연과학</t>
    <phoneticPr fontId="1" type="noConversion"/>
  </si>
  <si>
    <t>가형+10%</t>
    <phoneticPr fontId="1" type="noConversion"/>
  </si>
  <si>
    <t>가군,다군</t>
    <phoneticPr fontId="1" type="noConversion"/>
  </si>
  <si>
    <t>나군(수교제외)</t>
    <phoneticPr fontId="1" type="noConversion"/>
  </si>
  <si>
    <t>의류,외식,소비자주거</t>
    <phoneticPr fontId="1" type="noConversion"/>
  </si>
  <si>
    <t>상명대1</t>
    <phoneticPr fontId="1" type="noConversion"/>
  </si>
  <si>
    <t>상명대2</t>
    <phoneticPr fontId="1" type="noConversion"/>
  </si>
  <si>
    <t>언수외</t>
    <phoneticPr fontId="1" type="noConversion"/>
  </si>
  <si>
    <t>표점최</t>
    <phoneticPr fontId="1" type="noConversion"/>
  </si>
  <si>
    <t>탐구</t>
    <phoneticPr fontId="1" type="noConversion"/>
  </si>
  <si>
    <t>백분위</t>
    <phoneticPr fontId="1" type="noConversion"/>
  </si>
  <si>
    <t>간호,식품,보건</t>
    <phoneticPr fontId="1" type="noConversion"/>
  </si>
  <si>
    <t>전체</t>
    <phoneticPr fontId="1" type="noConversion"/>
  </si>
  <si>
    <t>수리가형</t>
  </si>
  <si>
    <t>1등급+5점</t>
  </si>
  <si>
    <t>2등급+3점</t>
  </si>
  <si>
    <t>과탐가산</t>
  </si>
  <si>
    <t>1등급+5</t>
  </si>
  <si>
    <t>1.5등급+4</t>
  </si>
  <si>
    <t>2등급+3</t>
  </si>
  <si>
    <t>한의/의예</t>
    <phoneticPr fontId="1" type="noConversion"/>
  </si>
  <si>
    <t>치의/의예</t>
    <phoneticPr fontId="1" type="noConversion"/>
  </si>
  <si>
    <t>한의/치의/의예</t>
    <phoneticPr fontId="1" type="noConversion"/>
  </si>
  <si>
    <t>가형+10%</t>
    <phoneticPr fontId="1" type="noConversion"/>
  </si>
  <si>
    <t>성균관대3</t>
    <phoneticPr fontId="1" type="noConversion"/>
  </si>
  <si>
    <t>자연우선선발</t>
    <phoneticPr fontId="1" type="noConversion"/>
  </si>
  <si>
    <t>성균관대1</t>
    <phoneticPr fontId="1" type="noConversion"/>
  </si>
  <si>
    <t>성균관대2</t>
    <phoneticPr fontId="1" type="noConversion"/>
  </si>
  <si>
    <t>표점최고</t>
    <phoneticPr fontId="1" type="noConversion"/>
  </si>
  <si>
    <t>표점최저</t>
    <phoneticPr fontId="1" type="noConversion"/>
  </si>
  <si>
    <t>언</t>
    <phoneticPr fontId="1" type="noConversion"/>
  </si>
  <si>
    <t>외</t>
    <phoneticPr fontId="1" type="noConversion"/>
  </si>
  <si>
    <t>물1</t>
    <phoneticPr fontId="1" type="noConversion"/>
  </si>
  <si>
    <t>화1</t>
    <phoneticPr fontId="1" type="noConversion"/>
  </si>
  <si>
    <t>생1</t>
    <phoneticPr fontId="1" type="noConversion"/>
  </si>
  <si>
    <t>지1</t>
    <phoneticPr fontId="1" type="noConversion"/>
  </si>
  <si>
    <t>물2</t>
    <phoneticPr fontId="1" type="noConversion"/>
  </si>
  <si>
    <t>화2</t>
    <phoneticPr fontId="1" type="noConversion"/>
  </si>
  <si>
    <t>생2</t>
    <phoneticPr fontId="1" type="noConversion"/>
  </si>
  <si>
    <t>지2</t>
    <phoneticPr fontId="1" type="noConversion"/>
  </si>
  <si>
    <t>수학과</t>
    <phoneticPr fontId="1" type="noConversion"/>
  </si>
  <si>
    <t>외대용인1</t>
    <phoneticPr fontId="1" type="noConversion"/>
  </si>
  <si>
    <t>외대용인2</t>
    <phoneticPr fontId="1" type="noConversion"/>
  </si>
  <si>
    <t>숭실대1</t>
    <phoneticPr fontId="1" type="noConversion"/>
  </si>
  <si>
    <t>수학과</t>
    <phoneticPr fontId="1" type="noConversion"/>
  </si>
  <si>
    <t>숭실대2</t>
    <phoneticPr fontId="1" type="noConversion"/>
  </si>
  <si>
    <t>가형+8%</t>
    <phoneticPr fontId="1" type="noConversion"/>
  </si>
  <si>
    <t>탐구+8%</t>
    <phoneticPr fontId="1" type="noConversion"/>
  </si>
  <si>
    <t>생활,간호,건축</t>
    <phoneticPr fontId="1" type="noConversion"/>
  </si>
  <si>
    <t>기초의과학부</t>
    <phoneticPr fontId="1" type="noConversion"/>
  </si>
  <si>
    <t>인하대3</t>
    <phoneticPr fontId="1" type="noConversion"/>
  </si>
  <si>
    <t>가형+10%</t>
    <phoneticPr fontId="1" type="noConversion"/>
  </si>
  <si>
    <t>화2,생2</t>
    <phoneticPr fontId="1" type="noConversion"/>
  </si>
  <si>
    <t>가산+5%</t>
    <phoneticPr fontId="1" type="noConversion"/>
  </si>
  <si>
    <t>가형+7%</t>
    <phoneticPr fontId="1" type="noConversion"/>
  </si>
  <si>
    <t>기타전체</t>
    <phoneticPr fontId="1" type="noConversion"/>
  </si>
  <si>
    <t>수학,전자물리,화학</t>
    <phoneticPr fontId="1" type="noConversion"/>
  </si>
  <si>
    <t>건축</t>
    <phoneticPr fontId="1" type="noConversion"/>
  </si>
  <si>
    <t>과탐+5%</t>
    <phoneticPr fontId="1" type="noConversion"/>
  </si>
  <si>
    <t>수가</t>
    <phoneticPr fontId="1" type="noConversion"/>
  </si>
  <si>
    <t>수나</t>
    <phoneticPr fontId="1" type="noConversion"/>
  </si>
  <si>
    <t>가형+10%</t>
    <phoneticPr fontId="1" type="noConversion"/>
  </si>
  <si>
    <t>가/나가능</t>
    <phoneticPr fontId="1" type="noConversion"/>
  </si>
  <si>
    <t>가형+5%</t>
    <phoneticPr fontId="1" type="noConversion"/>
  </si>
  <si>
    <t>과탐+5%</t>
    <phoneticPr fontId="1" type="noConversion"/>
  </si>
  <si>
    <t>한의</t>
    <phoneticPr fontId="1" type="noConversion"/>
  </si>
  <si>
    <t>한의(총400)</t>
    <phoneticPr fontId="1" type="noConversion"/>
  </si>
  <si>
    <t>기본점수</t>
    <phoneticPr fontId="1" type="noConversion"/>
  </si>
  <si>
    <t>350점</t>
    <phoneticPr fontId="1" type="noConversion"/>
  </si>
  <si>
    <t>언어에..</t>
    <phoneticPr fontId="1" type="noConversion"/>
  </si>
  <si>
    <t>의예(총700)</t>
    <phoneticPr fontId="1" type="noConversion"/>
  </si>
  <si>
    <t>서남대</t>
    <phoneticPr fontId="1" type="noConversion"/>
  </si>
  <si>
    <t>의예</t>
    <phoneticPr fontId="1" type="noConversion"/>
  </si>
  <si>
    <t>가형만</t>
    <phoneticPr fontId="1" type="noConversion"/>
  </si>
  <si>
    <t>서강대</t>
    <phoneticPr fontId="1" type="noConversion"/>
  </si>
  <si>
    <t>성균관대1</t>
    <phoneticPr fontId="1" type="noConversion"/>
  </si>
  <si>
    <t>성균관대2</t>
    <phoneticPr fontId="1" type="noConversion"/>
  </si>
  <si>
    <t>성균관대3</t>
    <phoneticPr fontId="1" type="noConversion"/>
  </si>
  <si>
    <t>한양대</t>
    <phoneticPr fontId="1" type="noConversion"/>
  </si>
  <si>
    <t>중앙대</t>
    <phoneticPr fontId="1" type="noConversion"/>
  </si>
  <si>
    <t>경희대국제1</t>
    <phoneticPr fontId="1" type="noConversion"/>
  </si>
  <si>
    <t>경희대국제2</t>
    <phoneticPr fontId="1" type="noConversion"/>
  </si>
  <si>
    <t>외대용인1</t>
    <phoneticPr fontId="1" type="noConversion"/>
  </si>
  <si>
    <t>동국대2</t>
    <phoneticPr fontId="1" type="noConversion"/>
  </si>
  <si>
    <t>단국대1</t>
    <phoneticPr fontId="1" type="noConversion"/>
  </si>
  <si>
    <t>외대용인2</t>
    <phoneticPr fontId="1" type="noConversion"/>
  </si>
  <si>
    <t>동국대3</t>
    <phoneticPr fontId="1" type="noConversion"/>
  </si>
  <si>
    <t>동국대4</t>
    <phoneticPr fontId="1" type="noConversion"/>
  </si>
  <si>
    <t>숙명여대</t>
    <phoneticPr fontId="1" type="noConversion"/>
  </si>
  <si>
    <t>단국대2</t>
    <phoneticPr fontId="1" type="noConversion"/>
  </si>
  <si>
    <t>단국대3</t>
    <phoneticPr fontId="1" type="noConversion"/>
  </si>
  <si>
    <t>숭실대1</t>
    <phoneticPr fontId="1" type="noConversion"/>
  </si>
  <si>
    <t>숭실대2</t>
    <phoneticPr fontId="1" type="noConversion"/>
  </si>
  <si>
    <t>세종대1</t>
    <phoneticPr fontId="1" type="noConversion"/>
  </si>
  <si>
    <t>세종대2</t>
    <phoneticPr fontId="1" type="noConversion"/>
  </si>
  <si>
    <t>인하대1</t>
    <phoneticPr fontId="1" type="noConversion"/>
  </si>
  <si>
    <t>인하대2</t>
    <phoneticPr fontId="1" type="noConversion"/>
  </si>
  <si>
    <t>인하대3</t>
    <phoneticPr fontId="1" type="noConversion"/>
  </si>
  <si>
    <t>명지대</t>
    <phoneticPr fontId="1" type="noConversion"/>
  </si>
  <si>
    <t>서경대</t>
    <phoneticPr fontId="1" type="noConversion"/>
  </si>
  <si>
    <t>한성대</t>
    <phoneticPr fontId="1" type="noConversion"/>
  </si>
  <si>
    <t>삼육대1</t>
    <phoneticPr fontId="1" type="noConversion"/>
  </si>
  <si>
    <t>삼육대2</t>
    <phoneticPr fontId="1" type="noConversion"/>
  </si>
  <si>
    <t>광운대1</t>
    <phoneticPr fontId="1" type="noConversion"/>
  </si>
  <si>
    <t>광운대2</t>
    <phoneticPr fontId="1" type="noConversion"/>
  </si>
  <si>
    <t>상명대1</t>
    <phoneticPr fontId="1" type="noConversion"/>
  </si>
  <si>
    <t>상명대2</t>
    <phoneticPr fontId="1" type="noConversion"/>
  </si>
  <si>
    <t>가톨릭1</t>
    <phoneticPr fontId="1" type="noConversion"/>
  </si>
  <si>
    <t>가톨릭2</t>
    <phoneticPr fontId="1" type="noConversion"/>
  </si>
  <si>
    <t>대전대</t>
    <phoneticPr fontId="1" type="noConversion"/>
  </si>
  <si>
    <t>대구한의대</t>
    <phoneticPr fontId="1" type="noConversion"/>
  </si>
  <si>
    <t>동의대</t>
    <phoneticPr fontId="1" type="noConversion"/>
  </si>
  <si>
    <t>세명대</t>
    <phoneticPr fontId="1" type="noConversion"/>
  </si>
  <si>
    <t>상지대</t>
    <phoneticPr fontId="1" type="noConversion"/>
  </si>
  <si>
    <t>원광대</t>
    <phoneticPr fontId="1" type="noConversion"/>
  </si>
  <si>
    <t>동신대</t>
    <phoneticPr fontId="1" type="noConversion"/>
  </si>
  <si>
    <t>동국대경주</t>
    <phoneticPr fontId="1" type="noConversion"/>
  </si>
  <si>
    <t>우석대</t>
    <phoneticPr fontId="1" type="noConversion"/>
  </si>
  <si>
    <t>단국대천안</t>
    <phoneticPr fontId="1" type="noConversion"/>
  </si>
  <si>
    <t>울산대</t>
    <phoneticPr fontId="1" type="noConversion"/>
  </si>
  <si>
    <t>인제대</t>
    <phoneticPr fontId="1" type="noConversion"/>
  </si>
  <si>
    <t>한림대</t>
    <phoneticPr fontId="1" type="noConversion"/>
  </si>
  <si>
    <t>순천향대</t>
    <phoneticPr fontId="1" type="noConversion"/>
  </si>
  <si>
    <t>영남대</t>
    <phoneticPr fontId="1" type="noConversion"/>
  </si>
  <si>
    <t>을지대</t>
    <phoneticPr fontId="1" type="noConversion"/>
  </si>
  <si>
    <t>동아대</t>
    <phoneticPr fontId="1" type="noConversion"/>
  </si>
  <si>
    <t>계명대</t>
    <phoneticPr fontId="1" type="noConversion"/>
  </si>
  <si>
    <t>대구가톨릭대</t>
    <phoneticPr fontId="1" type="noConversion"/>
  </si>
  <si>
    <t>건양대</t>
    <phoneticPr fontId="1" type="noConversion"/>
  </si>
  <si>
    <t>관동대</t>
    <phoneticPr fontId="1" type="noConversion"/>
  </si>
  <si>
    <t>고신대</t>
    <phoneticPr fontId="1" type="noConversion"/>
  </si>
  <si>
    <t>항공대</t>
    <phoneticPr fontId="1" type="noConversion"/>
  </si>
  <si>
    <t>서남대</t>
    <phoneticPr fontId="1" type="noConversion"/>
  </si>
  <si>
    <t>범례</t>
    <phoneticPr fontId="1" type="noConversion"/>
  </si>
  <si>
    <t>수리가</t>
    <phoneticPr fontId="1" type="noConversion"/>
  </si>
  <si>
    <t>수리나</t>
    <phoneticPr fontId="1" type="noConversion"/>
  </si>
  <si>
    <t>외국어</t>
    <phoneticPr fontId="1" type="noConversion"/>
  </si>
  <si>
    <t>제2외</t>
    <phoneticPr fontId="1" type="noConversion"/>
  </si>
  <si>
    <t>광운대3</t>
    <phoneticPr fontId="1" type="noConversion"/>
  </si>
  <si>
    <t>우선/수능100</t>
    <phoneticPr fontId="1" type="noConversion"/>
  </si>
  <si>
    <t>2011년 환산점</t>
    <phoneticPr fontId="1" type="noConversion"/>
  </si>
  <si>
    <t>세종대1</t>
    <phoneticPr fontId="1" type="noConversion"/>
  </si>
  <si>
    <t>세종대2</t>
    <phoneticPr fontId="1" type="noConversion"/>
  </si>
  <si>
    <t>지방&amp;경기권 주요대학 모음</t>
    <phoneticPr fontId="1" type="noConversion"/>
  </si>
  <si>
    <t>한양대안산</t>
    <phoneticPr fontId="1" type="noConversion"/>
  </si>
  <si>
    <t>한양대안산</t>
    <phoneticPr fontId="1" type="noConversion"/>
  </si>
  <si>
    <t>중앙대안성</t>
    <phoneticPr fontId="1" type="noConversion"/>
  </si>
  <si>
    <t>경기대</t>
    <phoneticPr fontId="1" type="noConversion"/>
  </si>
  <si>
    <t>수원대1</t>
    <phoneticPr fontId="1" type="noConversion"/>
  </si>
  <si>
    <t>수원대2</t>
    <phoneticPr fontId="1" type="noConversion"/>
  </si>
  <si>
    <t>충남대</t>
    <phoneticPr fontId="1" type="noConversion"/>
  </si>
  <si>
    <t>경상대</t>
    <phoneticPr fontId="1" type="noConversion"/>
  </si>
  <si>
    <t>경북대</t>
    <phoneticPr fontId="1" type="noConversion"/>
  </si>
  <si>
    <t>부산대1</t>
    <phoneticPr fontId="1" type="noConversion"/>
  </si>
  <si>
    <t>부산대2</t>
    <phoneticPr fontId="1" type="noConversion"/>
  </si>
  <si>
    <t>중앙대안성</t>
    <phoneticPr fontId="1" type="noConversion"/>
  </si>
  <si>
    <t>경기대</t>
    <phoneticPr fontId="1" type="noConversion"/>
  </si>
  <si>
    <t>생활과학대</t>
    <phoneticPr fontId="1" type="noConversion"/>
  </si>
  <si>
    <t>가형+5%</t>
    <phoneticPr fontId="1" type="noConversion"/>
  </si>
  <si>
    <t>가산없음</t>
    <phoneticPr fontId="1" type="noConversion"/>
  </si>
  <si>
    <t>안양대</t>
    <phoneticPr fontId="1" type="noConversion"/>
  </si>
  <si>
    <t>안양대</t>
    <phoneticPr fontId="1" type="noConversion"/>
  </si>
  <si>
    <t>충남대</t>
    <phoneticPr fontId="1" type="noConversion"/>
  </si>
  <si>
    <t>충북대1</t>
    <phoneticPr fontId="1" type="noConversion"/>
  </si>
  <si>
    <t>충북대2</t>
    <phoneticPr fontId="1" type="noConversion"/>
  </si>
  <si>
    <t>충북대1</t>
    <phoneticPr fontId="1" type="noConversion"/>
  </si>
  <si>
    <t>충북대2</t>
    <phoneticPr fontId="1" type="noConversion"/>
  </si>
  <si>
    <t>가형지정(총600)</t>
    <phoneticPr fontId="1" type="noConversion"/>
  </si>
  <si>
    <t>가/나형인정(총600)</t>
    <phoneticPr fontId="1" type="noConversion"/>
  </si>
  <si>
    <t>가형가산</t>
    <phoneticPr fontId="1" type="noConversion"/>
  </si>
  <si>
    <t>백분취득률</t>
    <phoneticPr fontId="1" type="noConversion"/>
  </si>
  <si>
    <t>*2</t>
    <phoneticPr fontId="1" type="noConversion"/>
  </si>
  <si>
    <t>경북대</t>
    <phoneticPr fontId="1" type="noConversion"/>
  </si>
  <si>
    <t>전체</t>
    <phoneticPr fontId="1" type="noConversion"/>
  </si>
  <si>
    <t>생활환경,생명자원</t>
    <phoneticPr fontId="1" type="noConversion"/>
  </si>
  <si>
    <t>가형+10%</t>
    <phoneticPr fontId="1" type="noConversion"/>
  </si>
  <si>
    <t>과탐+10%</t>
    <phoneticPr fontId="1" type="noConversion"/>
  </si>
  <si>
    <t>의예,수의예등</t>
    <phoneticPr fontId="1" type="noConversion"/>
  </si>
  <si>
    <t>전남대2</t>
    <phoneticPr fontId="1" type="noConversion"/>
  </si>
  <si>
    <t>전남대3</t>
    <phoneticPr fontId="1" type="noConversion"/>
  </si>
  <si>
    <t>간호,농생명</t>
    <phoneticPr fontId="1" type="noConversion"/>
  </si>
  <si>
    <t>컴퓨터,생명계열</t>
    <phoneticPr fontId="1" type="noConversion"/>
  </si>
  <si>
    <t>전남대4</t>
    <phoneticPr fontId="1" type="noConversion"/>
  </si>
  <si>
    <t>수학,수교,물리학등</t>
    <phoneticPr fontId="1" type="noConversion"/>
  </si>
  <si>
    <t>가형+20%</t>
    <phoneticPr fontId="1" type="noConversion"/>
  </si>
  <si>
    <t>가형+20%,모든2과목10%</t>
    <phoneticPr fontId="1" type="noConversion"/>
  </si>
  <si>
    <t>가산없음</t>
    <phoneticPr fontId="1" type="noConversion"/>
  </si>
  <si>
    <t>전남대1</t>
    <phoneticPr fontId="1" type="noConversion"/>
  </si>
  <si>
    <t>전남대1</t>
    <phoneticPr fontId="1" type="noConversion"/>
  </si>
  <si>
    <t>전남대3</t>
    <phoneticPr fontId="1" type="noConversion"/>
  </si>
  <si>
    <t>전남대4</t>
    <phoneticPr fontId="1" type="noConversion"/>
  </si>
  <si>
    <t>고려대세종</t>
    <phoneticPr fontId="1" type="noConversion"/>
  </si>
  <si>
    <t>고려대세종</t>
    <phoneticPr fontId="1" type="noConversion"/>
  </si>
  <si>
    <t>연세대원주1</t>
    <phoneticPr fontId="1" type="noConversion"/>
  </si>
  <si>
    <t>연세대원주2</t>
    <phoneticPr fontId="1" type="noConversion"/>
  </si>
  <si>
    <t>전체</t>
    <phoneticPr fontId="1" type="noConversion"/>
  </si>
  <si>
    <t>연세대원주2</t>
    <phoneticPr fontId="1" type="noConversion"/>
  </si>
  <si>
    <t>연세대원주1</t>
    <phoneticPr fontId="1" type="noConversion"/>
  </si>
  <si>
    <t>경원대1</t>
    <phoneticPr fontId="1" type="noConversion"/>
  </si>
  <si>
    <t>경원대2</t>
    <phoneticPr fontId="1" type="noConversion"/>
  </si>
  <si>
    <t>경원대3</t>
    <phoneticPr fontId="1" type="noConversion"/>
  </si>
  <si>
    <t>경원대4</t>
    <phoneticPr fontId="1" type="noConversion"/>
  </si>
  <si>
    <t>경원대4</t>
    <phoneticPr fontId="1" type="noConversion"/>
  </si>
  <si>
    <t>경원대1</t>
    <phoneticPr fontId="1" type="noConversion"/>
  </si>
  <si>
    <t>경원대2</t>
    <phoneticPr fontId="1" type="noConversion"/>
  </si>
  <si>
    <t>경원대3</t>
    <phoneticPr fontId="1" type="noConversion"/>
  </si>
  <si>
    <t>전체</t>
    <phoneticPr fontId="1" type="noConversion"/>
  </si>
  <si>
    <t>바이오나노</t>
    <phoneticPr fontId="1" type="noConversion"/>
  </si>
  <si>
    <t>간호</t>
    <phoneticPr fontId="1" type="noConversion"/>
  </si>
  <si>
    <t>과탐만</t>
    <phoneticPr fontId="1" type="noConversion"/>
  </si>
  <si>
    <t>가형+5%</t>
    <phoneticPr fontId="1" type="noConversion"/>
  </si>
  <si>
    <t>과탐+2%</t>
    <phoneticPr fontId="1" type="noConversion"/>
  </si>
  <si>
    <t>아주대3</t>
    <phoneticPr fontId="1" type="noConversion"/>
  </si>
  <si>
    <t>아주대4</t>
    <phoneticPr fontId="1" type="noConversion"/>
  </si>
  <si>
    <t>가-자연1,사과,e비즈</t>
    <phoneticPr fontId="1" type="noConversion"/>
  </si>
  <si>
    <t>가-자연2</t>
    <phoneticPr fontId="1" type="noConversion"/>
  </si>
  <si>
    <t>다-자연1,사과,e비즈</t>
    <phoneticPr fontId="1" type="noConversion"/>
  </si>
  <si>
    <t>다-자연2</t>
    <phoneticPr fontId="1" type="noConversion"/>
  </si>
  <si>
    <t>아주대3</t>
    <phoneticPr fontId="1" type="noConversion"/>
  </si>
  <si>
    <t>아주대4</t>
    <phoneticPr fontId="1" type="noConversion"/>
  </si>
  <si>
    <t>과탐각+5%</t>
    <phoneticPr fontId="1" type="noConversion"/>
  </si>
  <si>
    <t>홍익대3</t>
    <phoneticPr fontId="1" type="noConversion"/>
  </si>
  <si>
    <t>숙명여대1</t>
    <phoneticPr fontId="1" type="noConversion"/>
  </si>
  <si>
    <t>국민대1</t>
    <phoneticPr fontId="1" type="noConversion"/>
  </si>
  <si>
    <t>삼육대3</t>
    <phoneticPr fontId="1" type="noConversion"/>
  </si>
  <si>
    <t>삼육대4</t>
    <phoneticPr fontId="1" type="noConversion"/>
  </si>
  <si>
    <t>한성대1</t>
    <phoneticPr fontId="1" type="noConversion"/>
  </si>
  <si>
    <t>단국대4</t>
    <phoneticPr fontId="1" type="noConversion"/>
  </si>
  <si>
    <t>단국대5</t>
    <phoneticPr fontId="1" type="noConversion"/>
  </si>
  <si>
    <t>단국대6</t>
    <phoneticPr fontId="1" type="noConversion"/>
  </si>
  <si>
    <t>가톨릭3</t>
    <phoneticPr fontId="1" type="noConversion"/>
  </si>
  <si>
    <t>가톨릭4</t>
    <phoneticPr fontId="1" type="noConversion"/>
  </si>
  <si>
    <t>경기대1</t>
    <phoneticPr fontId="1" type="noConversion"/>
  </si>
  <si>
    <t>항공대1</t>
    <phoneticPr fontId="1" type="noConversion"/>
  </si>
  <si>
    <t>안양대1</t>
    <phoneticPr fontId="1" type="noConversion"/>
  </si>
  <si>
    <t>경상대1</t>
    <phoneticPr fontId="1" type="noConversion"/>
  </si>
  <si>
    <t>전남대5</t>
    <phoneticPr fontId="1" type="noConversion"/>
  </si>
  <si>
    <t>전남대6</t>
    <phoneticPr fontId="1" type="noConversion"/>
  </si>
  <si>
    <t>전남대7</t>
    <phoneticPr fontId="1" type="noConversion"/>
  </si>
  <si>
    <t>전남대8</t>
    <phoneticPr fontId="1" type="noConversion"/>
  </si>
  <si>
    <t>전남대2</t>
    <phoneticPr fontId="1" type="noConversion"/>
  </si>
  <si>
    <t>충북대2</t>
    <phoneticPr fontId="1" type="noConversion"/>
  </si>
  <si>
    <t>한양대1</t>
    <phoneticPr fontId="1" type="noConversion"/>
  </si>
  <si>
    <t>중앙대1</t>
    <phoneticPr fontId="1" type="noConversion"/>
  </si>
  <si>
    <t>건국대1</t>
    <phoneticPr fontId="1" type="noConversion"/>
  </si>
  <si>
    <t>동국대5</t>
    <phoneticPr fontId="1" type="noConversion"/>
  </si>
  <si>
    <t>동국대6</t>
    <phoneticPr fontId="1" type="noConversion"/>
  </si>
  <si>
    <t>동국대7</t>
    <phoneticPr fontId="1" type="noConversion"/>
  </si>
  <si>
    <t>동국대8</t>
    <phoneticPr fontId="1" type="noConversion"/>
  </si>
  <si>
    <t>한양대안산1</t>
    <phoneticPr fontId="1" type="noConversion"/>
  </si>
  <si>
    <t>중앙대안성1</t>
    <phoneticPr fontId="1" type="noConversion"/>
  </si>
  <si>
    <t>충북대3</t>
    <phoneticPr fontId="1" type="noConversion"/>
  </si>
  <si>
    <t>충북대4</t>
    <phoneticPr fontId="1" type="noConversion"/>
  </si>
  <si>
    <t>아주대3</t>
    <phoneticPr fontId="1" type="noConversion"/>
  </si>
  <si>
    <t>동국대경주1</t>
    <phoneticPr fontId="1" type="noConversion"/>
  </si>
  <si>
    <t>원광대1</t>
    <phoneticPr fontId="1" type="noConversion"/>
  </si>
  <si>
    <t>계명대1</t>
    <phoneticPr fontId="1" type="noConversion"/>
  </si>
  <si>
    <t>대구가톨릭대1</t>
    <phoneticPr fontId="1" type="noConversion"/>
  </si>
  <si>
    <t>관동대1</t>
    <phoneticPr fontId="1" type="noConversion"/>
  </si>
  <si>
    <t>동신대1</t>
    <phoneticPr fontId="1" type="noConversion"/>
  </si>
  <si>
    <t>영남대1</t>
    <phoneticPr fontId="1" type="noConversion"/>
  </si>
  <si>
    <t>진학+메가와 동일</t>
    <phoneticPr fontId="1" type="noConversion"/>
  </si>
  <si>
    <t>물1</t>
    <phoneticPr fontId="1" type="noConversion"/>
  </si>
  <si>
    <t>화1</t>
    <phoneticPr fontId="1" type="noConversion"/>
  </si>
  <si>
    <t>생1</t>
    <phoneticPr fontId="1" type="noConversion"/>
  </si>
  <si>
    <t>지1</t>
    <phoneticPr fontId="1" type="noConversion"/>
  </si>
  <si>
    <t>물2</t>
    <phoneticPr fontId="1" type="noConversion"/>
  </si>
  <si>
    <t>화2</t>
    <phoneticPr fontId="1" type="noConversion"/>
  </si>
  <si>
    <t>생2</t>
    <phoneticPr fontId="1" type="noConversion"/>
  </si>
  <si>
    <t>지2</t>
    <phoneticPr fontId="1" type="noConversion"/>
  </si>
  <si>
    <t>과탐</t>
    <phoneticPr fontId="1" type="noConversion"/>
  </si>
  <si>
    <t>수리유형</t>
    <phoneticPr fontId="1" type="noConversion"/>
  </si>
  <si>
    <t>가형</t>
    <phoneticPr fontId="1" type="noConversion"/>
  </si>
  <si>
    <t>나형</t>
    <phoneticPr fontId="1" type="noConversion"/>
  </si>
  <si>
    <t>탐구변환만 불일치</t>
    <phoneticPr fontId="1" type="noConversion"/>
  </si>
  <si>
    <t>연세대</t>
    <phoneticPr fontId="1" type="noConversion"/>
  </si>
  <si>
    <t>가형</t>
  </si>
  <si>
    <t>물1</t>
  </si>
  <si>
    <t>화1</t>
  </si>
  <si>
    <t>생1</t>
  </si>
  <si>
    <t>화2</t>
  </si>
  <si>
    <t>지1</t>
  </si>
  <si>
    <t>물2</t>
  </si>
  <si>
    <t>생2</t>
  </si>
  <si>
    <t>지2</t>
  </si>
  <si>
    <t>과탐선택</t>
    <phoneticPr fontId="1" type="noConversion"/>
  </si>
  <si>
    <t>수리유형선택</t>
    <phoneticPr fontId="1" type="noConversion"/>
  </si>
  <si>
    <t>물리1-&gt;</t>
    <phoneticPr fontId="1" type="noConversion"/>
  </si>
  <si>
    <t>수리가형-&gt;</t>
    <phoneticPr fontId="1" type="noConversion"/>
  </si>
  <si>
    <t>가형</t>
    <phoneticPr fontId="1" type="noConversion"/>
  </si>
  <si>
    <t>화학1-&gt;</t>
    <phoneticPr fontId="1" type="noConversion"/>
  </si>
  <si>
    <t>수리나형-&gt;</t>
    <phoneticPr fontId="1" type="noConversion"/>
  </si>
  <si>
    <t>나형</t>
    <phoneticPr fontId="1" type="noConversion"/>
  </si>
  <si>
    <t>생물1-&gt;</t>
    <phoneticPr fontId="1" type="noConversion"/>
  </si>
  <si>
    <t>`</t>
    <phoneticPr fontId="1" type="noConversion"/>
  </si>
  <si>
    <t>지학1-&gt;</t>
    <phoneticPr fontId="1" type="noConversion"/>
  </si>
  <si>
    <t>물리2-&gt;</t>
    <phoneticPr fontId="1" type="noConversion"/>
  </si>
  <si>
    <t>화학2-&gt;</t>
    <phoneticPr fontId="1" type="noConversion"/>
  </si>
  <si>
    <t>생물2-&gt;</t>
    <phoneticPr fontId="1" type="noConversion"/>
  </si>
  <si>
    <t>지학2-&gt;</t>
    <phoneticPr fontId="1" type="noConversion"/>
  </si>
  <si>
    <t>과탐</t>
    <phoneticPr fontId="1" type="noConversion"/>
  </si>
  <si>
    <t>연세대</t>
    <phoneticPr fontId="1" type="noConversion"/>
  </si>
  <si>
    <t>고려대</t>
    <phoneticPr fontId="1" type="noConversion"/>
  </si>
  <si>
    <t>서강대</t>
    <phoneticPr fontId="1" type="noConversion"/>
  </si>
  <si>
    <t>성균관대</t>
    <phoneticPr fontId="1" type="noConversion"/>
  </si>
  <si>
    <t>시립대</t>
    <phoneticPr fontId="1" type="noConversion"/>
  </si>
  <si>
    <t>건국대</t>
    <phoneticPr fontId="1" type="noConversion"/>
  </si>
  <si>
    <t>동국대</t>
    <phoneticPr fontId="1" type="noConversion"/>
  </si>
  <si>
    <t>인하대</t>
    <phoneticPr fontId="1" type="noConversion"/>
  </si>
  <si>
    <t>한림대</t>
    <phoneticPr fontId="1" type="noConversion"/>
  </si>
  <si>
    <t>경북대</t>
    <phoneticPr fontId="1" type="noConversion"/>
  </si>
  <si>
    <t>과탐보정점수(서울대)</t>
    <phoneticPr fontId="1" type="noConversion"/>
  </si>
  <si>
    <t>과탐보정점수(한양대)</t>
    <phoneticPr fontId="1" type="noConversion"/>
  </si>
  <si>
    <t>물1</t>
    <phoneticPr fontId="1" type="noConversion"/>
  </si>
  <si>
    <t>화1</t>
    <phoneticPr fontId="1" type="noConversion"/>
  </si>
  <si>
    <t>생1</t>
    <phoneticPr fontId="1" type="noConversion"/>
  </si>
  <si>
    <t>지1</t>
    <phoneticPr fontId="1" type="noConversion"/>
  </si>
  <si>
    <t>물2</t>
    <phoneticPr fontId="1" type="noConversion"/>
  </si>
  <si>
    <t>화2</t>
    <phoneticPr fontId="1" type="noConversion"/>
  </si>
  <si>
    <t>생2</t>
    <phoneticPr fontId="1" type="noConversion"/>
  </si>
  <si>
    <t>지2</t>
    <phoneticPr fontId="1" type="noConversion"/>
  </si>
  <si>
    <t>안녕하세요.광주메가스터디 정복일입니다.
탐구영역(파란색)과 수리유형(노란색)을 지정하고 성적을 입력하세요.남색으로 표시된 대학은 진학사와 메가환산점과 동일합니다.노란색으로 표시된 대학 탐구보정점수가 발표되지않아, 환산점수가 차이나는 대학입니다. 시트보호 되어있구요,
모두모두 건승하세요!!</t>
    <phoneticPr fontId="1" type="noConversion"/>
  </si>
  <si>
    <t>울산대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</si>
</sst>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178" formatCode="0.00_);[Red]\(0.00\)"/>
    <numFmt numFmtId="179" formatCode="0.0000_);[Red]\(0.0000\)"/>
    <numFmt numFmtId="180" formatCode="0.000_);[Red]\(0.000\)"/>
    <numFmt numFmtId="181" formatCode="0_);[Red]\(0\)"/>
  </numFmts>
  <fonts count="26"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u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</cellStyleXfs>
  <cellXfs count="14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6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8" fontId="0" fillId="5" borderId="3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177" fontId="0" fillId="5" borderId="56" xfId="0" applyNumberFormat="1" applyFill="1" applyBorder="1" applyAlignment="1">
      <alignment horizontal="center" vertical="center"/>
    </xf>
    <xf numFmtId="176" fontId="0" fillId="5" borderId="11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8" fontId="0" fillId="5" borderId="56" xfId="0" applyNumberFormat="1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9" fontId="0" fillId="5" borderId="60" xfId="0" applyNumberForma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178" fontId="0" fillId="5" borderId="18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77" fontId="0" fillId="5" borderId="7" xfId="0" applyNumberFormat="1" applyFill="1" applyBorder="1" applyAlignment="1">
      <alignment horizontal="center" vertical="center"/>
    </xf>
    <xf numFmtId="177" fontId="0" fillId="5" borderId="24" xfId="0" applyNumberFormat="1" applyFill="1" applyBorder="1" applyAlignment="1">
      <alignment horizontal="center" vertical="center"/>
    </xf>
    <xf numFmtId="176" fontId="0" fillId="5" borderId="1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8" fontId="0" fillId="5" borderId="7" xfId="0" applyNumberFormat="1" applyFill="1" applyBorder="1" applyAlignment="1">
      <alignment horizontal="center" vertical="center"/>
    </xf>
    <xf numFmtId="178" fontId="0" fillId="5" borderId="24" xfId="0" applyNumberFormat="1" applyFill="1" applyBorder="1" applyAlignment="1">
      <alignment horizontal="center" vertical="center"/>
    </xf>
    <xf numFmtId="177" fontId="0" fillId="5" borderId="12" xfId="0" applyNumberFormat="1" applyFill="1" applyBorder="1" applyAlignment="1">
      <alignment horizontal="center" vertical="center"/>
    </xf>
    <xf numFmtId="179" fontId="0" fillId="5" borderId="61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177" fontId="0" fillId="5" borderId="55" xfId="0" applyNumberFormat="1" applyFill="1" applyBorder="1" applyAlignment="1">
      <alignment horizontal="center" vertical="center"/>
    </xf>
    <xf numFmtId="177" fontId="0" fillId="5" borderId="57" xfId="0" applyNumberFormat="1" applyFill="1" applyBorder="1" applyAlignment="1">
      <alignment horizontal="center" vertical="center"/>
    </xf>
    <xf numFmtId="176" fontId="0" fillId="5" borderId="42" xfId="0" applyNumberFormat="1" applyFill="1" applyBorder="1" applyAlignment="1">
      <alignment horizontal="center" vertical="center"/>
    </xf>
    <xf numFmtId="176" fontId="0" fillId="5" borderId="55" xfId="0" applyNumberFormat="1" applyFill="1" applyBorder="1" applyAlignment="1">
      <alignment horizontal="center" vertical="center"/>
    </xf>
    <xf numFmtId="177" fontId="0" fillId="5" borderId="42" xfId="0" applyNumberFormat="1" applyFill="1" applyBorder="1" applyAlignment="1">
      <alignment horizontal="center" vertical="center"/>
    </xf>
    <xf numFmtId="179" fontId="0" fillId="5" borderId="20" xfId="0" applyNumberFormat="1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177" fontId="0" fillId="5" borderId="47" xfId="0" applyNumberFormat="1" applyFill="1" applyBorder="1" applyAlignment="1">
      <alignment horizontal="center" vertical="center"/>
    </xf>
    <xf numFmtId="177" fontId="0" fillId="5" borderId="66" xfId="0" applyNumberFormat="1" applyFill="1" applyBorder="1" applyAlignment="1">
      <alignment horizontal="center" vertical="center"/>
    </xf>
    <xf numFmtId="176" fontId="0" fillId="5" borderId="65" xfId="0" applyNumberFormat="1" applyFill="1" applyBorder="1" applyAlignment="1">
      <alignment horizontal="center" vertical="center"/>
    </xf>
    <xf numFmtId="176" fontId="0" fillId="5" borderId="47" xfId="0" applyNumberFormat="1" applyFill="1" applyBorder="1" applyAlignment="1">
      <alignment horizontal="center" vertical="center"/>
    </xf>
    <xf numFmtId="177" fontId="0" fillId="5" borderId="65" xfId="0" applyNumberFormat="1" applyFill="1" applyBorder="1" applyAlignment="1">
      <alignment horizontal="center" vertical="center"/>
    </xf>
    <xf numFmtId="179" fontId="0" fillId="5" borderId="26" xfId="0" applyNumberFormat="1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178" fontId="0" fillId="5" borderId="6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176" fontId="0" fillId="5" borderId="66" xfId="0" applyNumberFormat="1" applyFill="1" applyBorder="1" applyAlignment="1">
      <alignment horizontal="center" vertical="center"/>
    </xf>
    <xf numFmtId="176" fontId="0" fillId="5" borderId="57" xfId="0" applyNumberFormat="1" applyFill="1" applyBorder="1" applyAlignment="1">
      <alignment horizontal="center" vertical="center"/>
    </xf>
    <xf numFmtId="176" fontId="0" fillId="5" borderId="24" xfId="0" applyNumberFormat="1" applyFill="1" applyBorder="1" applyAlignment="1">
      <alignment horizontal="center" vertical="center"/>
    </xf>
    <xf numFmtId="178" fontId="0" fillId="5" borderId="47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5" borderId="56" xfId="0" applyNumberForma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6" fontId="0" fillId="0" borderId="52" xfId="0" applyNumberFormat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61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45" xfId="0" applyNumberFormat="1" applyFill="1" applyBorder="1" applyAlignment="1">
      <alignment horizontal="center"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34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0" fillId="3" borderId="45" xfId="0" applyNumberFormat="1" applyFill="1" applyBorder="1" applyAlignment="1">
      <alignment horizontal="center" vertical="center"/>
    </xf>
    <xf numFmtId="179" fontId="0" fillId="3" borderId="19" xfId="0" applyNumberForma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5" borderId="26" xfId="0" applyNumberFormat="1" applyFill="1" applyBorder="1" applyAlignment="1">
      <alignment horizontal="center" vertical="center"/>
    </xf>
    <xf numFmtId="176" fontId="0" fillId="5" borderId="61" xfId="0" applyNumberFormat="1" applyFill="1" applyBorder="1" applyAlignment="1">
      <alignment horizontal="center" vertical="center"/>
    </xf>
    <xf numFmtId="176" fontId="0" fillId="5" borderId="20" xfId="0" applyNumberFormat="1" applyFill="1" applyBorder="1" applyAlignment="1">
      <alignment horizontal="center" vertical="center"/>
    </xf>
    <xf numFmtId="176" fontId="0" fillId="0" borderId="64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9" fontId="0" fillId="0" borderId="64" xfId="0" applyNumberFormat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181" fontId="0" fillId="6" borderId="45" xfId="0" applyNumberFormat="1" applyFill="1" applyBorder="1" applyAlignment="1">
      <alignment horizontal="center" vertical="center"/>
    </xf>
    <xf numFmtId="180" fontId="0" fillId="6" borderId="43" xfId="0" applyNumberFormat="1" applyFill="1" applyBorder="1" applyAlignment="1">
      <alignment horizontal="center" vertical="center"/>
    </xf>
    <xf numFmtId="180" fontId="0" fillId="6" borderId="34" xfId="0" applyNumberForma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176" fontId="0" fillId="6" borderId="45" xfId="0" applyNumberFormat="1" applyFill="1" applyBorder="1" applyAlignment="1">
      <alignment horizontal="center" vertical="center"/>
    </xf>
    <xf numFmtId="176" fontId="0" fillId="6" borderId="43" xfId="0" applyNumberFormat="1" applyFill="1" applyBorder="1" applyAlignment="1">
      <alignment horizontal="center" vertical="center"/>
    </xf>
    <xf numFmtId="176" fontId="0" fillId="6" borderId="34" xfId="0" applyNumberFormat="1" applyFill="1" applyBorder="1" applyAlignment="1">
      <alignment horizontal="center" vertical="center"/>
    </xf>
    <xf numFmtId="178" fontId="0" fillId="6" borderId="34" xfId="0" applyNumberFormat="1" applyFill="1" applyBorder="1" applyAlignment="1">
      <alignment horizontal="center" vertical="center"/>
    </xf>
    <xf numFmtId="179" fontId="0" fillId="6" borderId="19" xfId="0" applyNumberFormat="1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177" fontId="0" fillId="6" borderId="43" xfId="0" applyNumberFormat="1" applyFill="1" applyBorder="1" applyAlignment="1">
      <alignment horizontal="center" vertical="center"/>
    </xf>
    <xf numFmtId="177" fontId="0" fillId="6" borderId="34" xfId="0" applyNumberFormat="1" applyFill="1" applyBorder="1" applyAlignment="1">
      <alignment horizontal="center" vertical="center"/>
    </xf>
    <xf numFmtId="177" fontId="0" fillId="6" borderId="45" xfId="0" applyNumberForma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34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76" fontId="0" fillId="4" borderId="45" xfId="0" applyNumberFormat="1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176" fontId="0" fillId="4" borderId="34" xfId="0" applyNumberFormat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/>
    </xf>
    <xf numFmtId="178" fontId="0" fillId="4" borderId="34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9" fontId="0" fillId="4" borderId="19" xfId="0" applyNumberForma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180" fontId="0" fillId="4" borderId="43" xfId="0" applyNumberFormat="1" applyFill="1" applyBorder="1" applyAlignment="1">
      <alignment horizontal="center" vertical="center"/>
    </xf>
    <xf numFmtId="180" fontId="0" fillId="4" borderId="34" xfId="0" applyNumberForma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177" fontId="0" fillId="4" borderId="47" xfId="0" applyNumberFormat="1" applyFill="1" applyBorder="1" applyAlignment="1">
      <alignment horizontal="center" vertical="center"/>
    </xf>
    <xf numFmtId="177" fontId="0" fillId="4" borderId="66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0" fillId="4" borderId="65" xfId="0" applyNumberFormat="1" applyFill="1" applyBorder="1" applyAlignment="1">
      <alignment horizontal="center" vertical="center"/>
    </xf>
    <xf numFmtId="176" fontId="0" fillId="4" borderId="47" xfId="0" applyNumberFormat="1" applyFill="1" applyBorder="1" applyAlignment="1">
      <alignment horizontal="center" vertical="center"/>
    </xf>
    <xf numFmtId="176" fontId="0" fillId="4" borderId="66" xfId="0" applyNumberFormat="1" applyFill="1" applyBorder="1" applyAlignment="1">
      <alignment horizontal="center" vertical="center"/>
    </xf>
    <xf numFmtId="177" fontId="0" fillId="4" borderId="65" xfId="0" applyNumberFormat="1" applyFill="1" applyBorder="1" applyAlignment="1">
      <alignment horizontal="center" vertical="center"/>
    </xf>
    <xf numFmtId="179" fontId="0" fillId="4" borderId="26" xfId="0" applyNumberForma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177" fontId="0" fillId="4" borderId="22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177" fontId="0" fillId="10" borderId="43" xfId="0" applyNumberForma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176" fontId="0" fillId="10" borderId="45" xfId="0" applyNumberFormat="1" applyFill="1" applyBorder="1" applyAlignment="1">
      <alignment horizontal="center" vertical="center"/>
    </xf>
    <xf numFmtId="176" fontId="0" fillId="10" borderId="43" xfId="0" applyNumberFormat="1" applyFill="1" applyBorder="1" applyAlignment="1">
      <alignment horizontal="center" vertical="center"/>
    </xf>
    <xf numFmtId="176" fontId="0" fillId="10" borderId="34" xfId="0" applyNumberFormat="1" applyFill="1" applyBorder="1" applyAlignment="1">
      <alignment horizontal="center" vertical="center"/>
    </xf>
    <xf numFmtId="176" fontId="0" fillId="10" borderId="19" xfId="0" applyNumberFormat="1" applyFill="1" applyBorder="1" applyAlignment="1">
      <alignment horizontal="center" vertical="center"/>
    </xf>
    <xf numFmtId="177" fontId="0" fillId="10" borderId="45" xfId="0" applyNumberFormat="1" applyFill="1" applyBorder="1" applyAlignment="1">
      <alignment horizontal="center" vertical="center"/>
    </xf>
    <xf numFmtId="177" fontId="0" fillId="10" borderId="34" xfId="0" applyNumberFormat="1" applyFill="1" applyBorder="1" applyAlignment="1">
      <alignment horizontal="center" vertical="center"/>
    </xf>
    <xf numFmtId="179" fontId="0" fillId="10" borderId="19" xfId="0" applyNumberFormat="1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181" fontId="0" fillId="0" borderId="64" xfId="0" applyNumberFormat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177" fontId="0" fillId="10" borderId="47" xfId="0" applyNumberFormat="1" applyFill="1" applyBorder="1" applyAlignment="1">
      <alignment horizontal="center" vertical="center"/>
    </xf>
    <xf numFmtId="177" fontId="0" fillId="10" borderId="66" xfId="0" applyNumberForma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176" fontId="0" fillId="10" borderId="65" xfId="0" applyNumberFormat="1" applyFill="1" applyBorder="1" applyAlignment="1">
      <alignment horizontal="center" vertical="center"/>
    </xf>
    <xf numFmtId="176" fontId="0" fillId="10" borderId="47" xfId="0" applyNumberFormat="1" applyFill="1" applyBorder="1" applyAlignment="1">
      <alignment horizontal="center" vertical="center"/>
    </xf>
    <xf numFmtId="176" fontId="0" fillId="10" borderId="66" xfId="0" applyNumberFormat="1" applyFill="1" applyBorder="1" applyAlignment="1">
      <alignment horizontal="center" vertical="center"/>
    </xf>
    <xf numFmtId="178" fontId="0" fillId="10" borderId="66" xfId="0" applyNumberFormat="1" applyFill="1" applyBorder="1" applyAlignment="1">
      <alignment horizontal="center" vertical="center"/>
    </xf>
    <xf numFmtId="177" fontId="0" fillId="10" borderId="65" xfId="0" applyNumberFormat="1" applyFill="1" applyBorder="1" applyAlignment="1">
      <alignment horizontal="center" vertical="center"/>
    </xf>
    <xf numFmtId="179" fontId="0" fillId="10" borderId="26" xfId="0" applyNumberFormat="1" applyFill="1" applyBorder="1" applyAlignment="1">
      <alignment horizontal="center" vertical="center"/>
    </xf>
    <xf numFmtId="0" fontId="0" fillId="10" borderId="66" xfId="0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56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56" xfId="0" applyNumberFormat="1" applyFill="1" applyBorder="1" applyAlignment="1">
      <alignment horizontal="center" vertical="center"/>
    </xf>
    <xf numFmtId="176" fontId="0" fillId="3" borderId="60" xfId="0" applyNumberFormat="1" applyFill="1" applyBorder="1" applyAlignment="1">
      <alignment horizontal="center" vertical="center"/>
    </xf>
    <xf numFmtId="178" fontId="0" fillId="3" borderId="56" xfId="0" applyNumberFormat="1" applyFill="1" applyBorder="1" applyAlignment="1">
      <alignment horizontal="center" vertical="center"/>
    </xf>
    <xf numFmtId="177" fontId="0" fillId="3" borderId="11" xfId="0" applyNumberFormat="1" applyFill="1" applyBorder="1" applyAlignment="1">
      <alignment horizontal="center" vertical="center"/>
    </xf>
    <xf numFmtId="179" fontId="0" fillId="3" borderId="60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18" xfId="0" applyNumberFormat="1" applyFill="1" applyBorder="1" applyAlignment="1">
      <alignment horizontal="center" vertical="center"/>
    </xf>
    <xf numFmtId="176" fontId="0" fillId="3" borderId="5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7" fontId="0" fillId="3" borderId="52" xfId="0" applyNumberFormat="1" applyFill="1" applyBorder="1" applyAlignment="1">
      <alignment horizontal="center" vertical="center"/>
    </xf>
    <xf numFmtId="179" fontId="0" fillId="3" borderId="64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8" fontId="0" fillId="10" borderId="34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177" fontId="0" fillId="3" borderId="54" xfId="0" applyNumberFormat="1" applyFill="1" applyBorder="1" applyAlignment="1">
      <alignment horizontal="center" vertical="center"/>
    </xf>
    <xf numFmtId="177" fontId="0" fillId="3" borderId="32" xfId="0" applyNumberForma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59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8" fontId="0" fillId="3" borderId="54" xfId="0" applyNumberFormat="1" applyFill="1" applyBorder="1" applyAlignment="1">
      <alignment horizontal="center" vertical="center"/>
    </xf>
    <xf numFmtId="178" fontId="0" fillId="3" borderId="32" xfId="0" applyNumberFormat="1" applyFill="1" applyBorder="1" applyAlignment="1">
      <alignment horizontal="center" vertical="center"/>
    </xf>
    <xf numFmtId="177" fontId="0" fillId="3" borderId="59" xfId="0" applyNumberFormat="1" applyFill="1" applyBorder="1" applyAlignment="1">
      <alignment horizontal="center" vertical="center"/>
    </xf>
    <xf numFmtId="179" fontId="0" fillId="3" borderId="62" xfId="0" applyNumberForma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177" fontId="0" fillId="3" borderId="51" xfId="0" applyNumberForma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176" fontId="0" fillId="3" borderId="58" xfId="0" applyNumberFormat="1" applyFill="1" applyBorder="1" applyAlignment="1">
      <alignment horizontal="center" vertical="center"/>
    </xf>
    <xf numFmtId="176" fontId="0" fillId="3" borderId="51" xfId="0" applyNumberFormat="1" applyFill="1" applyBorder="1" applyAlignment="1">
      <alignment horizontal="center" vertical="center"/>
    </xf>
    <xf numFmtId="176" fontId="0" fillId="3" borderId="50" xfId="0" applyNumberFormat="1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8" fontId="0" fillId="3" borderId="51" xfId="0" applyNumberFormat="1" applyFill="1" applyBorder="1" applyAlignment="1">
      <alignment horizontal="center" vertical="center"/>
    </xf>
    <xf numFmtId="178" fontId="0" fillId="3" borderId="50" xfId="0" applyNumberFormat="1" applyFill="1" applyBorder="1" applyAlignment="1">
      <alignment horizontal="center" vertical="center"/>
    </xf>
    <xf numFmtId="177" fontId="0" fillId="3" borderId="58" xfId="0" applyNumberFormat="1" applyFill="1" applyBorder="1" applyAlignment="1">
      <alignment horizontal="center" vertical="center"/>
    </xf>
    <xf numFmtId="177" fontId="0" fillId="3" borderId="50" xfId="0" applyNumberFormat="1" applyFill="1" applyBorder="1" applyAlignment="1">
      <alignment horizontal="center" vertical="center"/>
    </xf>
    <xf numFmtId="179" fontId="0" fillId="3" borderId="63" xfId="0" applyNumberForma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177" fontId="0" fillId="3" borderId="47" xfId="0" applyNumberFormat="1" applyFill="1" applyBorder="1" applyAlignment="1">
      <alignment horizontal="center" vertical="center"/>
    </xf>
    <xf numFmtId="177" fontId="17" fillId="3" borderId="47" xfId="0" applyNumberFormat="1" applyFont="1" applyFill="1" applyBorder="1" applyAlignment="1">
      <alignment horizontal="center" vertical="center"/>
    </xf>
    <xf numFmtId="177" fontId="0" fillId="3" borderId="66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47" xfId="0" applyNumberFormat="1" applyFill="1" applyBorder="1" applyAlignment="1">
      <alignment horizontal="center" vertical="center"/>
    </xf>
    <xf numFmtId="176" fontId="0" fillId="3" borderId="66" xfId="0" applyNumberForma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8" fontId="0" fillId="3" borderId="47" xfId="0" applyNumberFormat="1" applyFill="1" applyBorder="1" applyAlignment="1">
      <alignment horizontal="center" vertical="center"/>
    </xf>
    <xf numFmtId="178" fontId="0" fillId="3" borderId="66" xfId="0" applyNumberFormat="1" applyFill="1" applyBorder="1" applyAlignment="1">
      <alignment horizontal="center" vertical="center"/>
    </xf>
    <xf numFmtId="177" fontId="0" fillId="3" borderId="65" xfId="0" applyNumberFormat="1" applyFill="1" applyBorder="1" applyAlignment="1">
      <alignment horizontal="center" vertical="center"/>
    </xf>
    <xf numFmtId="179" fontId="0" fillId="3" borderId="26" xfId="0" applyNumberForma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14" fillId="10" borderId="63" xfId="0" applyFont="1" applyFill="1" applyBorder="1" applyAlignment="1">
      <alignment horizontal="center" vertical="center"/>
    </xf>
    <xf numFmtId="0" fontId="0" fillId="10" borderId="58" xfId="0" applyFill="1" applyBorder="1" applyAlignment="1">
      <alignment horizontal="center" vertical="center"/>
    </xf>
    <xf numFmtId="177" fontId="0" fillId="10" borderId="51" xfId="0" applyNumberFormat="1" applyFill="1" applyBorder="1" applyAlignment="1">
      <alignment horizontal="center" vertical="center"/>
    </xf>
    <xf numFmtId="177" fontId="0" fillId="10" borderId="50" xfId="0" applyNumberFormat="1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176" fontId="0" fillId="10" borderId="58" xfId="0" applyNumberFormat="1" applyFill="1" applyBorder="1" applyAlignment="1">
      <alignment horizontal="center" vertical="center"/>
    </xf>
    <xf numFmtId="176" fontId="0" fillId="10" borderId="51" xfId="0" applyNumberFormat="1" applyFill="1" applyBorder="1" applyAlignment="1">
      <alignment horizontal="center" vertical="center"/>
    </xf>
    <xf numFmtId="176" fontId="0" fillId="10" borderId="50" xfId="0" applyNumberFormat="1" applyFill="1" applyBorder="1" applyAlignment="1">
      <alignment horizontal="center" vertical="center"/>
    </xf>
    <xf numFmtId="178" fontId="0" fillId="10" borderId="50" xfId="0" applyNumberFormat="1" applyFill="1" applyBorder="1" applyAlignment="1">
      <alignment horizontal="center" vertical="center"/>
    </xf>
    <xf numFmtId="177" fontId="0" fillId="10" borderId="58" xfId="0" applyNumberFormat="1" applyFill="1" applyBorder="1" applyAlignment="1">
      <alignment horizontal="center" vertical="center"/>
    </xf>
    <xf numFmtId="179" fontId="0" fillId="10" borderId="63" xfId="0" applyNumberFormat="1" applyFill="1" applyBorder="1" applyAlignment="1">
      <alignment horizontal="center" vertical="center"/>
    </xf>
    <xf numFmtId="0" fontId="0" fillId="10" borderId="51" xfId="0" applyFill="1" applyBorder="1" applyAlignment="1">
      <alignment horizontal="center" vertical="center"/>
    </xf>
    <xf numFmtId="0" fontId="0" fillId="10" borderId="50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177" fontId="0" fillId="12" borderId="3" xfId="0" applyNumberFormat="1" applyFill="1" applyBorder="1" applyAlignment="1">
      <alignment horizontal="center" vertical="center"/>
    </xf>
    <xf numFmtId="177" fontId="0" fillId="12" borderId="56" xfId="0" applyNumberFormat="1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176" fontId="0" fillId="12" borderId="11" xfId="0" applyNumberFormat="1" applyFill="1" applyBorder="1" applyAlignment="1">
      <alignment horizontal="center" vertical="center"/>
    </xf>
    <xf numFmtId="176" fontId="0" fillId="12" borderId="3" xfId="0" applyNumberFormat="1" applyFill="1" applyBorder="1" applyAlignment="1">
      <alignment horizontal="center" vertical="center"/>
    </xf>
    <xf numFmtId="176" fontId="0" fillId="12" borderId="56" xfId="0" applyNumberFormat="1" applyFill="1" applyBorder="1" applyAlignment="1">
      <alignment horizontal="center" vertical="center"/>
    </xf>
    <xf numFmtId="176" fontId="0" fillId="12" borderId="60" xfId="0" applyNumberFormat="1" applyFill="1" applyBorder="1" applyAlignment="1">
      <alignment horizontal="center" vertical="center"/>
    </xf>
    <xf numFmtId="178" fontId="0" fillId="12" borderId="3" xfId="0" applyNumberFormat="1" applyFill="1" applyBorder="1" applyAlignment="1">
      <alignment horizontal="center" vertical="center"/>
    </xf>
    <xf numFmtId="178" fontId="0" fillId="12" borderId="56" xfId="0" applyNumberFormat="1" applyFill="1" applyBorder="1" applyAlignment="1">
      <alignment horizontal="center" vertical="center"/>
    </xf>
    <xf numFmtId="177" fontId="0" fillId="12" borderId="11" xfId="0" applyNumberFormat="1" applyFill="1" applyBorder="1" applyAlignment="1">
      <alignment horizontal="center" vertical="center"/>
    </xf>
    <xf numFmtId="179" fontId="0" fillId="12" borderId="60" xfId="0" applyNumberForma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177" fontId="0" fillId="12" borderId="1" xfId="0" applyNumberFormat="1" applyFill="1" applyBorder="1" applyAlignment="1">
      <alignment horizontal="center" vertical="center"/>
    </xf>
    <xf numFmtId="177" fontId="0" fillId="12" borderId="18" xfId="0" applyNumberFormat="1" applyFill="1" applyBorder="1" applyAlignment="1">
      <alignment horizontal="center" vertical="center"/>
    </xf>
    <xf numFmtId="0" fontId="0" fillId="12" borderId="64" xfId="0" applyFill="1" applyBorder="1" applyAlignment="1">
      <alignment horizontal="center" vertical="center"/>
    </xf>
    <xf numFmtId="176" fontId="0" fillId="12" borderId="52" xfId="0" applyNumberFormat="1" applyFill="1" applyBorder="1" applyAlignment="1">
      <alignment horizontal="center" vertical="center"/>
    </xf>
    <xf numFmtId="176" fontId="0" fillId="12" borderId="1" xfId="0" applyNumberFormat="1" applyFill="1" applyBorder="1" applyAlignment="1">
      <alignment horizontal="center" vertical="center"/>
    </xf>
    <xf numFmtId="176" fontId="0" fillId="12" borderId="18" xfId="0" applyNumberFormat="1" applyFill="1" applyBorder="1" applyAlignment="1">
      <alignment horizontal="center" vertical="center"/>
    </xf>
    <xf numFmtId="176" fontId="0" fillId="12" borderId="64" xfId="0" applyNumberFormat="1" applyFill="1" applyBorder="1" applyAlignment="1">
      <alignment horizontal="center" vertical="center"/>
    </xf>
    <xf numFmtId="178" fontId="0" fillId="12" borderId="1" xfId="0" applyNumberFormat="1" applyFill="1" applyBorder="1" applyAlignment="1">
      <alignment horizontal="center" vertical="center"/>
    </xf>
    <xf numFmtId="178" fontId="0" fillId="12" borderId="18" xfId="0" applyNumberFormat="1" applyFill="1" applyBorder="1" applyAlignment="1">
      <alignment horizontal="center" vertical="center"/>
    </xf>
    <xf numFmtId="177" fontId="0" fillId="12" borderId="52" xfId="0" applyNumberFormat="1" applyFill="1" applyBorder="1" applyAlignment="1">
      <alignment horizontal="center" vertical="center"/>
    </xf>
    <xf numFmtId="179" fontId="0" fillId="12" borderId="64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177" fontId="0" fillId="11" borderId="43" xfId="0" applyNumberFormat="1" applyFill="1" applyBorder="1" applyAlignment="1">
      <alignment horizontal="center" vertical="center"/>
    </xf>
    <xf numFmtId="177" fontId="0" fillId="11" borderId="34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176" fontId="0" fillId="11" borderId="45" xfId="0" applyNumberFormat="1" applyFill="1" applyBorder="1" applyAlignment="1">
      <alignment horizontal="center" vertical="center"/>
    </xf>
    <xf numFmtId="176" fontId="0" fillId="11" borderId="43" xfId="0" applyNumberFormat="1" applyFill="1" applyBorder="1" applyAlignment="1">
      <alignment horizontal="center" vertical="center"/>
    </xf>
    <xf numFmtId="176" fontId="0" fillId="11" borderId="34" xfId="0" applyNumberFormat="1" applyFill="1" applyBorder="1" applyAlignment="1">
      <alignment horizontal="center" vertical="center"/>
    </xf>
    <xf numFmtId="176" fontId="0" fillId="11" borderId="19" xfId="0" applyNumberFormat="1" applyFill="1" applyBorder="1" applyAlignment="1">
      <alignment horizontal="center" vertical="center"/>
    </xf>
    <xf numFmtId="177" fontId="0" fillId="11" borderId="45" xfId="0" applyNumberFormat="1" applyFill="1" applyBorder="1" applyAlignment="1">
      <alignment horizontal="center" vertical="center"/>
    </xf>
    <xf numFmtId="179" fontId="0" fillId="11" borderId="19" xfId="0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177" fontId="0" fillId="3" borderId="4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178" fontId="0" fillId="3" borderId="43" xfId="0" applyNumberFormat="1" applyFill="1" applyBorder="1" applyAlignment="1">
      <alignment horizontal="center" vertical="center"/>
    </xf>
    <xf numFmtId="178" fontId="0" fillId="3" borderId="34" xfId="0" applyNumberForma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77" fontId="17" fillId="3" borderId="66" xfId="0" applyNumberFormat="1" applyFont="1" applyFill="1" applyBorder="1" applyAlignment="1">
      <alignment horizontal="center" vertical="center"/>
    </xf>
    <xf numFmtId="177" fontId="17" fillId="3" borderId="50" xfId="0" applyNumberFormat="1" applyFont="1" applyFill="1" applyBorder="1" applyAlignment="1">
      <alignment horizontal="center" vertical="center"/>
    </xf>
    <xf numFmtId="176" fontId="17" fillId="3" borderId="60" xfId="0" applyNumberFormat="1" applyFont="1" applyFill="1" applyBorder="1" applyAlignment="1">
      <alignment horizontal="center" vertical="center"/>
    </xf>
    <xf numFmtId="176" fontId="17" fillId="3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177" fontId="0" fillId="12" borderId="47" xfId="0" applyNumberFormat="1" applyFill="1" applyBorder="1" applyAlignment="1">
      <alignment horizontal="center" vertical="center"/>
    </xf>
    <xf numFmtId="177" fontId="0" fillId="12" borderId="66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6" fontId="0" fillId="12" borderId="65" xfId="0" applyNumberFormat="1" applyFill="1" applyBorder="1" applyAlignment="1">
      <alignment horizontal="center" vertical="center"/>
    </xf>
    <xf numFmtId="176" fontId="0" fillId="12" borderId="47" xfId="0" applyNumberFormat="1" applyFill="1" applyBorder="1" applyAlignment="1">
      <alignment horizontal="center" vertical="center"/>
    </xf>
    <xf numFmtId="176" fontId="0" fillId="12" borderId="66" xfId="0" applyNumberFormat="1" applyFill="1" applyBorder="1" applyAlignment="1">
      <alignment horizontal="center" vertical="center"/>
    </xf>
    <xf numFmtId="176" fontId="0" fillId="12" borderId="26" xfId="0" applyNumberFormat="1" applyFill="1" applyBorder="1" applyAlignment="1">
      <alignment horizontal="center" vertical="center"/>
    </xf>
    <xf numFmtId="178" fontId="0" fillId="12" borderId="47" xfId="0" applyNumberFormat="1" applyFill="1" applyBorder="1" applyAlignment="1">
      <alignment horizontal="center" vertical="center"/>
    </xf>
    <xf numFmtId="178" fontId="0" fillId="12" borderId="66" xfId="0" applyNumberFormat="1" applyFill="1" applyBorder="1" applyAlignment="1">
      <alignment horizontal="center" vertical="center"/>
    </xf>
    <xf numFmtId="177" fontId="0" fillId="12" borderId="65" xfId="0" applyNumberFormat="1" applyFill="1" applyBorder="1" applyAlignment="1">
      <alignment horizontal="center" vertical="center"/>
    </xf>
    <xf numFmtId="179" fontId="0" fillId="12" borderId="26" xfId="0" applyNumberFormat="1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0" fontId="0" fillId="12" borderId="66" xfId="0" applyFill="1" applyBorder="1" applyAlignment="1">
      <alignment horizontal="center" vertical="center"/>
    </xf>
    <xf numFmtId="0" fontId="18" fillId="12" borderId="61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177" fontId="18" fillId="12" borderId="7" xfId="0" applyNumberFormat="1" applyFont="1" applyFill="1" applyBorder="1" applyAlignment="1">
      <alignment horizontal="center" vertical="center"/>
    </xf>
    <xf numFmtId="177" fontId="18" fillId="12" borderId="24" xfId="0" applyNumberFormat="1" applyFont="1" applyFill="1" applyBorder="1" applyAlignment="1">
      <alignment horizontal="center" vertical="center"/>
    </xf>
    <xf numFmtId="176" fontId="18" fillId="12" borderId="12" xfId="0" applyNumberFormat="1" applyFont="1" applyFill="1" applyBorder="1" applyAlignment="1">
      <alignment horizontal="center" vertical="center"/>
    </xf>
    <xf numFmtId="176" fontId="18" fillId="12" borderId="7" xfId="0" applyNumberFormat="1" applyFont="1" applyFill="1" applyBorder="1" applyAlignment="1">
      <alignment horizontal="center" vertical="center"/>
    </xf>
    <xf numFmtId="176" fontId="18" fillId="12" borderId="24" xfId="0" applyNumberFormat="1" applyFont="1" applyFill="1" applyBorder="1" applyAlignment="1">
      <alignment horizontal="center" vertical="center"/>
    </xf>
    <xf numFmtId="176" fontId="18" fillId="12" borderId="61" xfId="0" applyNumberFormat="1" applyFont="1" applyFill="1" applyBorder="1" applyAlignment="1">
      <alignment horizontal="center" vertical="center"/>
    </xf>
    <xf numFmtId="178" fontId="18" fillId="12" borderId="7" xfId="0" applyNumberFormat="1" applyFont="1" applyFill="1" applyBorder="1" applyAlignment="1">
      <alignment horizontal="center" vertical="center"/>
    </xf>
    <xf numFmtId="178" fontId="18" fillId="12" borderId="24" xfId="0" applyNumberFormat="1" applyFont="1" applyFill="1" applyBorder="1" applyAlignment="1">
      <alignment horizontal="center" vertical="center"/>
    </xf>
    <xf numFmtId="177" fontId="18" fillId="12" borderId="12" xfId="0" applyNumberFormat="1" applyFont="1" applyFill="1" applyBorder="1" applyAlignment="1">
      <alignment horizontal="center" vertical="center"/>
    </xf>
    <xf numFmtId="179" fontId="18" fillId="12" borderId="61" xfId="0" applyNumberFormat="1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2" borderId="24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center" vertical="center"/>
    </xf>
    <xf numFmtId="176" fontId="17" fillId="3" borderId="62" xfId="0" applyNumberFormat="1" applyFont="1" applyFill="1" applyBorder="1" applyAlignment="1">
      <alignment horizontal="center" vertical="center"/>
    </xf>
    <xf numFmtId="176" fontId="17" fillId="3" borderId="63" xfId="0" applyNumberFormat="1" applyFont="1" applyFill="1" applyBorder="1" applyAlignment="1">
      <alignment horizontal="center" vertical="center"/>
    </xf>
    <xf numFmtId="177" fontId="17" fillId="3" borderId="54" xfId="0" applyNumberFormat="1" applyFont="1" applyFill="1" applyBorder="1" applyAlignment="1">
      <alignment horizontal="center" vertical="center"/>
    </xf>
    <xf numFmtId="177" fontId="17" fillId="3" borderId="51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vertical="center" wrapText="1"/>
    </xf>
    <xf numFmtId="0" fontId="0" fillId="3" borderId="61" xfId="0" applyFill="1" applyBorder="1" applyAlignment="1">
      <alignment vertical="center"/>
    </xf>
    <xf numFmtId="176" fontId="17" fillId="3" borderId="59" xfId="0" applyNumberFormat="1" applyFont="1" applyFill="1" applyBorder="1" applyAlignment="1">
      <alignment horizontal="center" vertical="center"/>
    </xf>
    <xf numFmtId="176" fontId="17" fillId="3" borderId="54" xfId="0" applyNumberFormat="1" applyFont="1" applyFill="1" applyBorder="1" applyAlignment="1">
      <alignment horizontal="center" vertical="center"/>
    </xf>
    <xf numFmtId="176" fontId="17" fillId="3" borderId="32" xfId="0" applyNumberFormat="1" applyFont="1" applyFill="1" applyBorder="1" applyAlignment="1">
      <alignment horizontal="center" vertical="center"/>
    </xf>
    <xf numFmtId="176" fontId="17" fillId="3" borderId="58" xfId="0" applyNumberFormat="1" applyFont="1" applyFill="1" applyBorder="1" applyAlignment="1">
      <alignment horizontal="center" vertical="center"/>
    </xf>
    <xf numFmtId="176" fontId="17" fillId="3" borderId="51" xfId="0" applyNumberFormat="1" applyFont="1" applyFill="1" applyBorder="1" applyAlignment="1">
      <alignment horizontal="center" vertical="center"/>
    </xf>
    <xf numFmtId="176" fontId="17" fillId="3" borderId="50" xfId="0" applyNumberFormat="1" applyFont="1" applyFill="1" applyBorder="1" applyAlignment="1">
      <alignment horizontal="center" vertical="center"/>
    </xf>
    <xf numFmtId="177" fontId="17" fillId="3" borderId="32" xfId="0" applyNumberFormat="1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0" fillId="8" borderId="65" xfId="0" applyFill="1" applyBorder="1" applyAlignment="1">
      <alignment horizontal="center" vertical="center"/>
    </xf>
    <xf numFmtId="177" fontId="0" fillId="8" borderId="47" xfId="0" applyNumberFormat="1" applyFill="1" applyBorder="1" applyAlignment="1">
      <alignment horizontal="center" vertical="center"/>
    </xf>
    <xf numFmtId="177" fontId="0" fillId="8" borderId="66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176" fontId="0" fillId="8" borderId="65" xfId="0" applyNumberFormat="1" applyFill="1" applyBorder="1" applyAlignment="1">
      <alignment horizontal="center" vertical="center"/>
    </xf>
    <xf numFmtId="176" fontId="0" fillId="8" borderId="47" xfId="0" applyNumberFormat="1" applyFill="1" applyBorder="1" applyAlignment="1">
      <alignment horizontal="center" vertical="center"/>
    </xf>
    <xf numFmtId="176" fontId="0" fillId="8" borderId="66" xfId="0" applyNumberFormat="1" applyFill="1" applyBorder="1" applyAlignment="1">
      <alignment horizontal="center" vertical="center"/>
    </xf>
    <xf numFmtId="176" fontId="0" fillId="8" borderId="26" xfId="0" applyNumberFormat="1" applyFill="1" applyBorder="1" applyAlignment="1">
      <alignment horizontal="center" vertical="center"/>
    </xf>
    <xf numFmtId="178" fontId="0" fillId="8" borderId="47" xfId="0" applyNumberFormat="1" applyFill="1" applyBorder="1" applyAlignment="1">
      <alignment horizontal="center" vertical="center"/>
    </xf>
    <xf numFmtId="178" fontId="0" fillId="8" borderId="66" xfId="0" applyNumberFormat="1" applyFill="1" applyBorder="1" applyAlignment="1">
      <alignment horizontal="center" vertical="center"/>
    </xf>
    <xf numFmtId="177" fontId="0" fillId="8" borderId="65" xfId="0" applyNumberFormat="1" applyFill="1" applyBorder="1" applyAlignment="1">
      <alignment horizontal="center" vertical="center"/>
    </xf>
    <xf numFmtId="179" fontId="0" fillId="8" borderId="26" xfId="0" applyNumberFormat="1" applyFill="1" applyBorder="1" applyAlignment="1">
      <alignment horizontal="center" vertical="center"/>
    </xf>
    <xf numFmtId="0" fontId="0" fillId="8" borderId="66" xfId="0" applyFill="1" applyBorder="1" applyAlignment="1">
      <alignment horizontal="center" vertical="center"/>
    </xf>
    <xf numFmtId="0" fontId="18" fillId="8" borderId="6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177" fontId="18" fillId="8" borderId="7" xfId="0" applyNumberFormat="1" applyFont="1" applyFill="1" applyBorder="1" applyAlignment="1">
      <alignment horizontal="center" vertical="center"/>
    </xf>
    <xf numFmtId="177" fontId="18" fillId="8" borderId="24" xfId="0" applyNumberFormat="1" applyFont="1" applyFill="1" applyBorder="1" applyAlignment="1">
      <alignment horizontal="center" vertical="center"/>
    </xf>
    <xf numFmtId="176" fontId="18" fillId="8" borderId="12" xfId="0" applyNumberFormat="1" applyFont="1" applyFill="1" applyBorder="1" applyAlignment="1">
      <alignment horizontal="center" vertical="center"/>
    </xf>
    <xf numFmtId="176" fontId="18" fillId="8" borderId="7" xfId="0" applyNumberFormat="1" applyFont="1" applyFill="1" applyBorder="1" applyAlignment="1">
      <alignment horizontal="center" vertical="center"/>
    </xf>
    <xf numFmtId="176" fontId="18" fillId="8" borderId="24" xfId="0" applyNumberFormat="1" applyFont="1" applyFill="1" applyBorder="1" applyAlignment="1">
      <alignment horizontal="center" vertical="center"/>
    </xf>
    <xf numFmtId="176" fontId="18" fillId="8" borderId="61" xfId="0" applyNumberFormat="1" applyFont="1" applyFill="1" applyBorder="1" applyAlignment="1">
      <alignment horizontal="center" vertical="center"/>
    </xf>
    <xf numFmtId="178" fontId="18" fillId="8" borderId="7" xfId="0" applyNumberFormat="1" applyFont="1" applyFill="1" applyBorder="1" applyAlignment="1">
      <alignment horizontal="center" vertical="center"/>
    </xf>
    <xf numFmtId="178" fontId="18" fillId="8" borderId="24" xfId="0" applyNumberFormat="1" applyFont="1" applyFill="1" applyBorder="1" applyAlignment="1">
      <alignment horizontal="center" vertical="center"/>
    </xf>
    <xf numFmtId="177" fontId="18" fillId="8" borderId="12" xfId="0" applyNumberFormat="1" applyFont="1" applyFill="1" applyBorder="1" applyAlignment="1">
      <alignment horizontal="center" vertical="center"/>
    </xf>
    <xf numFmtId="179" fontId="18" fillId="8" borderId="61" xfId="0" applyNumberFormat="1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14" fillId="6" borderId="60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177" fontId="0" fillId="6" borderId="56" xfId="0" applyNumberFormat="1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176" fontId="0" fillId="6" borderId="11" xfId="0" applyNumberForma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0" fillId="6" borderId="56" xfId="0" applyNumberFormat="1" applyFill="1" applyBorder="1" applyAlignment="1">
      <alignment horizontal="center" vertical="center"/>
    </xf>
    <xf numFmtId="178" fontId="0" fillId="6" borderId="56" xfId="0" applyNumberFormat="1" applyFill="1" applyBorder="1" applyAlignment="1">
      <alignment horizontal="center" vertical="center"/>
    </xf>
    <xf numFmtId="177" fontId="0" fillId="6" borderId="11" xfId="0" applyNumberFormat="1" applyFill="1" applyBorder="1" applyAlignment="1">
      <alignment horizontal="center" vertical="center"/>
    </xf>
    <xf numFmtId="179" fontId="0" fillId="6" borderId="60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77" fontId="0" fillId="4" borderId="55" xfId="0" applyNumberFormat="1" applyFill="1" applyBorder="1" applyAlignment="1">
      <alignment horizontal="center" vertical="center"/>
    </xf>
    <xf numFmtId="177" fontId="0" fillId="4" borderId="57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76" fontId="0" fillId="4" borderId="42" xfId="0" applyNumberFormat="1" applyFill="1" applyBorder="1" applyAlignment="1">
      <alignment horizontal="center" vertical="center"/>
    </xf>
    <xf numFmtId="176" fontId="0" fillId="4" borderId="55" xfId="0" applyNumberFormat="1" applyFill="1" applyBorder="1" applyAlignment="1">
      <alignment horizontal="center" vertical="center"/>
    </xf>
    <xf numFmtId="176" fontId="0" fillId="4" borderId="57" xfId="0" applyNumberFormat="1" applyFill="1" applyBorder="1" applyAlignment="1">
      <alignment horizontal="center" vertical="center"/>
    </xf>
    <xf numFmtId="176" fontId="0" fillId="4" borderId="20" xfId="0" applyNumberFormat="1" applyFill="1" applyBorder="1" applyAlignment="1">
      <alignment horizontal="center" vertical="center"/>
    </xf>
    <xf numFmtId="178" fontId="0" fillId="4" borderId="57" xfId="0" applyNumberFormat="1" applyFill="1" applyBorder="1" applyAlignment="1">
      <alignment horizontal="center" vertical="center"/>
    </xf>
    <xf numFmtId="177" fontId="0" fillId="4" borderId="42" xfId="0" applyNumberFormat="1" applyFill="1" applyBorder="1" applyAlignment="1">
      <alignment horizontal="center" vertical="center"/>
    </xf>
    <xf numFmtId="179" fontId="0" fillId="4" borderId="20" xfId="0" applyNumberFormat="1" applyFill="1" applyBorder="1" applyAlignment="1">
      <alignment horizontal="center" vertical="center"/>
    </xf>
    <xf numFmtId="176" fontId="17" fillId="4" borderId="26" xfId="0" applyNumberFormat="1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4" borderId="64" xfId="0" applyFon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4" borderId="18" xfId="0" applyNumberFormat="1" applyFill="1" applyBorder="1" applyAlignment="1">
      <alignment horizontal="center" vertical="center"/>
    </xf>
    <xf numFmtId="176" fontId="0" fillId="4" borderId="52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18" xfId="0" applyNumberFormat="1" applyFill="1" applyBorder="1" applyAlignment="1">
      <alignment horizontal="center" vertical="center"/>
    </xf>
    <xf numFmtId="176" fontId="17" fillId="4" borderId="64" xfId="0" applyNumberFormat="1" applyFont="1" applyFill="1" applyBorder="1" applyAlignment="1">
      <alignment horizontal="center" vertical="center"/>
    </xf>
    <xf numFmtId="177" fontId="0" fillId="4" borderId="52" xfId="0" applyNumberFormat="1" applyFill="1" applyBorder="1" applyAlignment="1">
      <alignment horizontal="center" vertical="center"/>
    </xf>
    <xf numFmtId="179" fontId="0" fillId="4" borderId="64" xfId="0" applyNumberFormat="1" applyFill="1" applyBorder="1" applyAlignment="1">
      <alignment horizontal="center" vertical="center"/>
    </xf>
    <xf numFmtId="176" fontId="17" fillId="4" borderId="20" xfId="0" applyNumberFormat="1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24" xfId="0" applyNumberFormat="1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176" fontId="0" fillId="4" borderId="7" xfId="0" applyNumberFormat="1" applyFill="1" applyBorder="1" applyAlignment="1">
      <alignment horizontal="center" vertical="center"/>
    </xf>
    <xf numFmtId="176" fontId="0" fillId="4" borderId="24" xfId="0" applyNumberFormat="1" applyFill="1" applyBorder="1" applyAlignment="1">
      <alignment horizontal="center" vertical="center"/>
    </xf>
    <xf numFmtId="176" fontId="17" fillId="4" borderId="61" xfId="0" applyNumberFormat="1" applyFont="1" applyFill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9" fontId="0" fillId="4" borderId="61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177" fontId="0" fillId="12" borderId="43" xfId="0" applyNumberFormat="1" applyFill="1" applyBorder="1" applyAlignment="1">
      <alignment horizontal="center" vertical="center"/>
    </xf>
    <xf numFmtId="177" fontId="0" fillId="12" borderId="34" xfId="0" applyNumberForma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176" fontId="0" fillId="12" borderId="45" xfId="0" applyNumberFormat="1" applyFill="1" applyBorder="1" applyAlignment="1">
      <alignment horizontal="center" vertical="center"/>
    </xf>
    <xf numFmtId="176" fontId="0" fillId="12" borderId="43" xfId="0" applyNumberFormat="1" applyFill="1" applyBorder="1" applyAlignment="1">
      <alignment horizontal="center" vertical="center"/>
    </xf>
    <xf numFmtId="176" fontId="0" fillId="12" borderId="34" xfId="0" applyNumberFormat="1" applyFill="1" applyBorder="1" applyAlignment="1">
      <alignment horizontal="center" vertical="center"/>
    </xf>
    <xf numFmtId="176" fontId="0" fillId="12" borderId="19" xfId="0" applyNumberFormat="1" applyFill="1" applyBorder="1" applyAlignment="1">
      <alignment horizontal="center" vertical="center"/>
    </xf>
    <xf numFmtId="177" fontId="0" fillId="12" borderId="45" xfId="0" applyNumberFormat="1" applyFill="1" applyBorder="1" applyAlignment="1">
      <alignment horizontal="center" vertical="center"/>
    </xf>
    <xf numFmtId="179" fontId="0" fillId="12" borderId="19" xfId="0" applyNumberFormat="1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4" fillId="12" borderId="64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177" fontId="0" fillId="12" borderId="7" xfId="0" applyNumberFormat="1" applyFill="1" applyBorder="1" applyAlignment="1">
      <alignment horizontal="center" vertical="center"/>
    </xf>
    <xf numFmtId="177" fontId="0" fillId="12" borderId="24" xfId="0" applyNumberFormat="1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176" fontId="0" fillId="12" borderId="12" xfId="0" applyNumberFormat="1" applyFill="1" applyBorder="1" applyAlignment="1">
      <alignment horizontal="center" vertical="center"/>
    </xf>
    <xf numFmtId="176" fontId="0" fillId="12" borderId="7" xfId="0" applyNumberFormat="1" applyFill="1" applyBorder="1" applyAlignment="1">
      <alignment horizontal="center" vertical="center"/>
    </xf>
    <xf numFmtId="176" fontId="0" fillId="12" borderId="24" xfId="0" applyNumberFormat="1" applyFill="1" applyBorder="1" applyAlignment="1">
      <alignment horizontal="center" vertical="center"/>
    </xf>
    <xf numFmtId="176" fontId="0" fillId="12" borderId="61" xfId="0" applyNumberFormat="1" applyFill="1" applyBorder="1" applyAlignment="1">
      <alignment horizontal="center" vertical="center"/>
    </xf>
    <xf numFmtId="178" fontId="0" fillId="12" borderId="7" xfId="0" applyNumberFormat="1" applyFill="1" applyBorder="1" applyAlignment="1">
      <alignment horizontal="center" vertical="center"/>
    </xf>
    <xf numFmtId="178" fontId="0" fillId="12" borderId="24" xfId="0" applyNumberFormat="1" applyFill="1" applyBorder="1" applyAlignment="1">
      <alignment horizontal="center" vertical="center"/>
    </xf>
    <xf numFmtId="177" fontId="0" fillId="12" borderId="12" xfId="0" applyNumberFormat="1" applyFill="1" applyBorder="1" applyAlignment="1">
      <alignment horizontal="center" vertical="center"/>
    </xf>
    <xf numFmtId="179" fontId="0" fillId="12" borderId="61" xfId="0" applyNumberForma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17" fillId="12" borderId="65" xfId="0" applyFont="1" applyFill="1" applyBorder="1" applyAlignment="1">
      <alignment horizontal="center" vertical="center"/>
    </xf>
    <xf numFmtId="181" fontId="0" fillId="3" borderId="45" xfId="0" applyNumberFormat="1" applyFill="1" applyBorder="1" applyAlignment="1">
      <alignment horizontal="center" vertical="center"/>
    </xf>
    <xf numFmtId="180" fontId="0" fillId="3" borderId="43" xfId="0" applyNumberFormat="1" applyFill="1" applyBorder="1" applyAlignment="1">
      <alignment horizontal="center" vertical="center"/>
    </xf>
    <xf numFmtId="180" fontId="0" fillId="3" borderId="34" xfId="0" applyNumberFormat="1" applyFill="1" applyBorder="1" applyAlignment="1">
      <alignment horizontal="center" vertical="center"/>
    </xf>
    <xf numFmtId="181" fontId="0" fillId="12" borderId="45" xfId="0" applyNumberFormat="1" applyFill="1" applyBorder="1" applyAlignment="1">
      <alignment horizontal="center" vertical="center"/>
    </xf>
    <xf numFmtId="180" fontId="0" fillId="12" borderId="43" xfId="0" applyNumberFormat="1" applyFill="1" applyBorder="1" applyAlignment="1">
      <alignment horizontal="center" vertical="center"/>
    </xf>
    <xf numFmtId="180" fontId="0" fillId="12" borderId="34" xfId="0" applyNumberFormat="1" applyFill="1" applyBorder="1" applyAlignment="1">
      <alignment horizontal="center" vertical="center"/>
    </xf>
    <xf numFmtId="178" fontId="0" fillId="12" borderId="34" xfId="0" applyNumberFormat="1" applyFill="1" applyBorder="1" applyAlignment="1">
      <alignment horizontal="center" vertical="center"/>
    </xf>
    <xf numFmtId="178" fontId="0" fillId="11" borderId="34" xfId="0" applyNumberFormat="1" applyFill="1" applyBorder="1" applyAlignment="1">
      <alignment horizontal="center" vertical="center"/>
    </xf>
    <xf numFmtId="181" fontId="0" fillId="11" borderId="45" xfId="0" applyNumberFormat="1" applyFill="1" applyBorder="1" applyAlignment="1">
      <alignment horizontal="center" vertical="center"/>
    </xf>
    <xf numFmtId="180" fontId="0" fillId="11" borderId="43" xfId="0" applyNumberFormat="1" applyFill="1" applyBorder="1" applyAlignment="1">
      <alignment horizontal="center" vertical="center"/>
    </xf>
    <xf numFmtId="180" fontId="0" fillId="11" borderId="34" xfId="0" applyNumberFormat="1" applyFill="1" applyBorder="1" applyAlignment="1">
      <alignment horizontal="center" vertical="center"/>
    </xf>
    <xf numFmtId="177" fontId="0" fillId="11" borderId="22" xfId="0" applyNumberFormat="1" applyFill="1" applyBorder="1" applyAlignment="1">
      <alignment horizontal="center" vertical="center"/>
    </xf>
    <xf numFmtId="181" fontId="0" fillId="12" borderId="67" xfId="0" applyNumberFormat="1" applyFill="1" applyBorder="1" applyAlignment="1">
      <alignment horizontal="center" vertical="center"/>
    </xf>
    <xf numFmtId="180" fontId="0" fillId="12" borderId="45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180" fontId="0" fillId="5" borderId="43" xfId="0" applyNumberFormat="1" applyFill="1" applyBorder="1" applyAlignment="1">
      <alignment horizontal="center" vertical="center"/>
    </xf>
    <xf numFmtId="180" fontId="0" fillId="5" borderId="34" xfId="0" applyNumberFormat="1" applyFill="1" applyBorder="1" applyAlignment="1">
      <alignment horizontal="center" vertical="center"/>
    </xf>
    <xf numFmtId="176" fontId="0" fillId="5" borderId="45" xfId="0" applyNumberFormat="1" applyFill="1" applyBorder="1" applyAlignment="1">
      <alignment horizontal="center" vertical="center"/>
    </xf>
    <xf numFmtId="176" fontId="0" fillId="5" borderId="43" xfId="0" applyNumberFormat="1" applyFill="1" applyBorder="1" applyAlignment="1">
      <alignment horizontal="center" vertical="center"/>
    </xf>
    <xf numFmtId="176" fontId="0" fillId="5" borderId="34" xfId="0" applyNumberFormat="1" applyFill="1" applyBorder="1" applyAlignment="1">
      <alignment horizontal="center" vertical="center"/>
    </xf>
    <xf numFmtId="176" fontId="0" fillId="5" borderId="19" xfId="0" applyNumberFormat="1" applyFill="1" applyBorder="1" applyAlignment="1">
      <alignment horizontal="center" vertical="center"/>
    </xf>
    <xf numFmtId="178" fontId="0" fillId="5" borderId="34" xfId="0" applyNumberFormat="1" applyFill="1" applyBorder="1" applyAlignment="1">
      <alignment horizontal="center" vertical="center"/>
    </xf>
    <xf numFmtId="177" fontId="0" fillId="5" borderId="45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77" fontId="0" fillId="5" borderId="34" xfId="0" applyNumberFormat="1" applyFill="1" applyBorder="1" applyAlignment="1">
      <alignment horizontal="center" vertical="center"/>
    </xf>
    <xf numFmtId="179" fontId="0" fillId="5" borderId="19" xfId="0" applyNumberFormat="1" applyFill="1" applyBorder="1" applyAlignment="1">
      <alignment horizontal="center" vertical="center"/>
    </xf>
    <xf numFmtId="176" fontId="17" fillId="6" borderId="60" xfId="0" applyNumberFormat="1" applyFont="1" applyFill="1" applyBorder="1" applyAlignment="1">
      <alignment horizontal="center" vertical="center"/>
    </xf>
    <xf numFmtId="176" fontId="17" fillId="4" borderId="19" xfId="0" applyNumberFormat="1" applyFont="1" applyFill="1" applyBorder="1" applyAlignment="1">
      <alignment horizontal="center" vertical="center"/>
    </xf>
    <xf numFmtId="176" fontId="17" fillId="10" borderId="19" xfId="0" applyNumberFormat="1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7" fontId="0" fillId="6" borderId="15" xfId="0" applyNumberForma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176" fontId="0" fillId="6" borderId="16" xfId="0" applyNumberFormat="1" applyFill="1" applyBorder="1" applyAlignment="1">
      <alignment horizontal="center" vertical="center"/>
    </xf>
    <xf numFmtId="176" fontId="0" fillId="6" borderId="15" xfId="0" applyNumberFormat="1" applyFill="1" applyBorder="1" applyAlignment="1">
      <alignment horizontal="center" vertical="center"/>
    </xf>
    <xf numFmtId="176" fontId="0" fillId="6" borderId="25" xfId="0" applyNumberFormat="1" applyFill="1" applyBorder="1" applyAlignment="1">
      <alignment horizontal="center" vertical="center"/>
    </xf>
    <xf numFmtId="176" fontId="0" fillId="6" borderId="27" xfId="0" applyNumberFormat="1" applyFill="1" applyBorder="1" applyAlignment="1">
      <alignment horizontal="center"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25" xfId="0" applyNumberFormat="1" applyFill="1" applyBorder="1" applyAlignment="1">
      <alignment horizontal="center" vertical="center"/>
    </xf>
    <xf numFmtId="179" fontId="0" fillId="6" borderId="27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176" fontId="17" fillId="3" borderId="26" xfId="0" applyNumberFormat="1" applyFont="1" applyFill="1" applyBorder="1" applyAlignment="1">
      <alignment horizontal="center" vertical="center"/>
    </xf>
    <xf numFmtId="176" fontId="17" fillId="6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78" fontId="0" fillId="4" borderId="42" xfId="0" applyNumberForma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7" fontId="0" fillId="4" borderId="56" xfId="0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0" fillId="4" borderId="56" xfId="0" applyNumberFormat="1" applyFill="1" applyBorder="1" applyAlignment="1">
      <alignment horizontal="center" vertical="center"/>
    </xf>
    <xf numFmtId="178" fontId="0" fillId="4" borderId="3" xfId="0" applyNumberFormat="1" applyFill="1" applyBorder="1" applyAlignment="1">
      <alignment horizontal="center" vertical="center"/>
    </xf>
    <xf numFmtId="178" fontId="0" fillId="4" borderId="56" xfId="0" applyNumberFormat="1" applyFill="1" applyBorder="1" applyAlignment="1">
      <alignment horizontal="center" vertical="center"/>
    </xf>
    <xf numFmtId="177" fontId="0" fillId="4" borderId="11" xfId="0" applyNumberFormat="1" applyFill="1" applyBorder="1" applyAlignment="1">
      <alignment horizontal="center" vertical="center"/>
    </xf>
    <xf numFmtId="179" fontId="0" fillId="4" borderId="60" xfId="0" applyNumberFormat="1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176" fontId="17" fillId="4" borderId="60" xfId="0" applyNumberFormat="1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0" fontId="18" fillId="4" borderId="52" xfId="0" applyFont="1" applyFill="1" applyBorder="1" applyAlignment="1">
      <alignment horizontal="center" vertical="center"/>
    </xf>
    <xf numFmtId="177" fontId="18" fillId="4" borderId="1" xfId="0" applyNumberFormat="1" applyFont="1" applyFill="1" applyBorder="1" applyAlignment="1">
      <alignment horizontal="center" vertical="center"/>
    </xf>
    <xf numFmtId="177" fontId="18" fillId="4" borderId="18" xfId="0" applyNumberFormat="1" applyFont="1" applyFill="1" applyBorder="1" applyAlignment="1">
      <alignment horizontal="center" vertical="center"/>
    </xf>
    <xf numFmtId="176" fontId="18" fillId="4" borderId="52" xfId="0" applyNumberFormat="1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center" vertical="center"/>
    </xf>
    <xf numFmtId="176" fontId="18" fillId="4" borderId="18" xfId="0" applyNumberFormat="1" applyFont="1" applyFill="1" applyBorder="1" applyAlignment="1">
      <alignment horizontal="center" vertical="center"/>
    </xf>
    <xf numFmtId="176" fontId="18" fillId="4" borderId="64" xfId="0" applyNumberFormat="1" applyFont="1" applyFill="1" applyBorder="1" applyAlignment="1">
      <alignment horizontal="center" vertical="center"/>
    </xf>
    <xf numFmtId="178" fontId="18" fillId="4" borderId="52" xfId="0" applyNumberFormat="1" applyFont="1" applyFill="1" applyBorder="1" applyAlignment="1">
      <alignment horizontal="center" vertical="center"/>
    </xf>
    <xf numFmtId="178" fontId="18" fillId="4" borderId="18" xfId="0" applyNumberFormat="1" applyFont="1" applyFill="1" applyBorder="1" applyAlignment="1">
      <alignment horizontal="center" vertical="center"/>
    </xf>
    <xf numFmtId="177" fontId="18" fillId="4" borderId="52" xfId="0" applyNumberFormat="1" applyFont="1" applyFill="1" applyBorder="1" applyAlignment="1">
      <alignment horizontal="center" vertical="center"/>
    </xf>
    <xf numFmtId="179" fontId="18" fillId="4" borderId="64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0" fontId="0" fillId="6" borderId="0" xfId="0" applyFill="1" applyBorder="1" applyAlignment="1">
      <alignment horizontal="center" vertical="center" wrapText="1"/>
    </xf>
    <xf numFmtId="0" fontId="0" fillId="6" borderId="77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55" xfId="0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0" fontId="18" fillId="9" borderId="47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18" fillId="9" borderId="78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18" fillId="9" borderId="44" xfId="0" applyFont="1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72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18" fillId="8" borderId="69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49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69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46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18" fillId="12" borderId="69" xfId="0" applyFont="1" applyFill="1" applyBorder="1" applyAlignment="1">
      <alignment horizontal="center" vertical="center"/>
    </xf>
    <xf numFmtId="0" fontId="18" fillId="12" borderId="8" xfId="0" applyFont="1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1" borderId="4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 wrapText="1"/>
    </xf>
    <xf numFmtId="178" fontId="5" fillId="0" borderId="43" xfId="0" applyNumberFormat="1" applyFont="1" applyBorder="1" applyAlignment="1">
      <alignment horizontal="center" vertical="center"/>
    </xf>
    <xf numFmtId="178" fontId="5" fillId="0" borderId="34" xfId="0" applyNumberFormat="1" applyFont="1" applyBorder="1" applyAlignment="1">
      <alignment horizontal="center" vertical="center"/>
    </xf>
    <xf numFmtId="177" fontId="5" fillId="0" borderId="45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176" fontId="17" fillId="10" borderId="45" xfId="0" applyNumberFormat="1" applyFont="1" applyFill="1" applyBorder="1" applyAlignment="1">
      <alignment horizontal="center" vertical="center"/>
    </xf>
    <xf numFmtId="176" fontId="17" fillId="5" borderId="60" xfId="0" applyNumberFormat="1" applyFont="1" applyFill="1" applyBorder="1" applyAlignment="1">
      <alignment horizontal="center" vertical="center"/>
    </xf>
    <xf numFmtId="176" fontId="17" fillId="5" borderId="6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24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61" xfId="0" applyNumberFormat="1" applyFill="1" applyBorder="1" applyAlignment="1">
      <alignment horizontal="center" vertical="center"/>
    </xf>
    <xf numFmtId="178" fontId="0" fillId="3" borderId="7" xfId="0" applyNumberFormat="1" applyFill="1" applyBorder="1" applyAlignment="1">
      <alignment horizontal="center" vertical="center"/>
    </xf>
    <xf numFmtId="178" fontId="0" fillId="3" borderId="24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9" fontId="0" fillId="3" borderId="61" xfId="0" applyNumberForma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/>
    </xf>
    <xf numFmtId="0" fontId="0" fillId="10" borderId="26" xfId="0" applyFill="1" applyBorder="1" applyAlignment="1">
      <alignment vertical="center" wrapText="1"/>
    </xf>
    <xf numFmtId="0" fontId="0" fillId="10" borderId="64" xfId="0" applyFill="1" applyBorder="1" applyAlignment="1">
      <alignment vertical="center"/>
    </xf>
    <xf numFmtId="176" fontId="17" fillId="10" borderId="26" xfId="0" applyNumberFormat="1" applyFont="1" applyFill="1" applyBorder="1" applyAlignment="1">
      <alignment horizontal="center" vertical="center"/>
    </xf>
    <xf numFmtId="176" fontId="17" fillId="10" borderId="63" xfId="0" applyNumberFormat="1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8" fillId="8" borderId="6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177" fontId="18" fillId="8" borderId="3" xfId="0" applyNumberFormat="1" applyFont="1" applyFill="1" applyBorder="1" applyAlignment="1">
      <alignment horizontal="center" vertical="center"/>
    </xf>
    <xf numFmtId="177" fontId="18" fillId="8" borderId="56" xfId="0" applyNumberFormat="1" applyFont="1" applyFill="1" applyBorder="1" applyAlignment="1">
      <alignment horizontal="center" vertical="center"/>
    </xf>
    <xf numFmtId="0" fontId="18" fillId="8" borderId="60" xfId="0" applyFont="1" applyFill="1" applyBorder="1" applyAlignment="1">
      <alignment horizontal="center" vertical="center"/>
    </xf>
    <xf numFmtId="176" fontId="18" fillId="8" borderId="11" xfId="0" applyNumberFormat="1" applyFont="1" applyFill="1" applyBorder="1" applyAlignment="1">
      <alignment horizontal="center" vertical="center"/>
    </xf>
    <xf numFmtId="176" fontId="18" fillId="8" borderId="3" xfId="0" applyNumberFormat="1" applyFont="1" applyFill="1" applyBorder="1" applyAlignment="1">
      <alignment horizontal="center" vertical="center"/>
    </xf>
    <xf numFmtId="176" fontId="18" fillId="8" borderId="56" xfId="0" applyNumberFormat="1" applyFont="1" applyFill="1" applyBorder="1" applyAlignment="1">
      <alignment horizontal="center" vertical="center"/>
    </xf>
    <xf numFmtId="176" fontId="18" fillId="8" borderId="60" xfId="0" applyNumberFormat="1" applyFont="1" applyFill="1" applyBorder="1" applyAlignment="1">
      <alignment horizontal="center" vertical="center"/>
    </xf>
    <xf numFmtId="178" fontId="18" fillId="8" borderId="3" xfId="0" applyNumberFormat="1" applyFont="1" applyFill="1" applyBorder="1" applyAlignment="1">
      <alignment horizontal="center" vertical="center"/>
    </xf>
    <xf numFmtId="178" fontId="18" fillId="8" borderId="56" xfId="0" applyNumberFormat="1" applyFont="1" applyFill="1" applyBorder="1" applyAlignment="1">
      <alignment horizontal="center" vertical="center"/>
    </xf>
    <xf numFmtId="177" fontId="18" fillId="8" borderId="11" xfId="0" applyNumberFormat="1" applyFont="1" applyFill="1" applyBorder="1" applyAlignment="1">
      <alignment horizontal="center" vertical="center"/>
    </xf>
    <xf numFmtId="179" fontId="18" fillId="8" borderId="60" xfId="0" applyNumberFormat="1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18" fillId="8" borderId="77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64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/>
    </xf>
    <xf numFmtId="177" fontId="18" fillId="8" borderId="1" xfId="0" applyNumberFormat="1" applyFont="1" applyFill="1" applyBorder="1" applyAlignment="1">
      <alignment horizontal="center" vertical="center"/>
    </xf>
    <xf numFmtId="177" fontId="18" fillId="8" borderId="18" xfId="0" applyNumberFormat="1" applyFont="1" applyFill="1" applyBorder="1" applyAlignment="1">
      <alignment horizontal="center" vertical="center"/>
    </xf>
    <xf numFmtId="0" fontId="18" fillId="8" borderId="64" xfId="0" applyFont="1" applyFill="1" applyBorder="1" applyAlignment="1">
      <alignment horizontal="center" vertical="center"/>
    </xf>
    <xf numFmtId="176" fontId="18" fillId="8" borderId="52" xfId="0" applyNumberFormat="1" applyFont="1" applyFill="1" applyBorder="1" applyAlignment="1">
      <alignment horizontal="center" vertical="center"/>
    </xf>
    <xf numFmtId="176" fontId="18" fillId="8" borderId="1" xfId="0" applyNumberFormat="1" applyFont="1" applyFill="1" applyBorder="1" applyAlignment="1">
      <alignment horizontal="center" vertical="center"/>
    </xf>
    <xf numFmtId="176" fontId="18" fillId="8" borderId="18" xfId="0" applyNumberFormat="1" applyFont="1" applyFill="1" applyBorder="1" applyAlignment="1">
      <alignment horizontal="center" vertical="center"/>
    </xf>
    <xf numFmtId="176" fontId="18" fillId="8" borderId="64" xfId="0" applyNumberFormat="1" applyFont="1" applyFill="1" applyBorder="1" applyAlignment="1">
      <alignment horizontal="center" vertical="center"/>
    </xf>
    <xf numFmtId="178" fontId="18" fillId="8" borderId="1" xfId="0" applyNumberFormat="1" applyFont="1" applyFill="1" applyBorder="1" applyAlignment="1">
      <alignment horizontal="center" vertical="center"/>
    </xf>
    <xf numFmtId="178" fontId="18" fillId="8" borderId="18" xfId="0" applyNumberFormat="1" applyFont="1" applyFill="1" applyBorder="1" applyAlignment="1">
      <alignment horizontal="center" vertical="center"/>
    </xf>
    <xf numFmtId="177" fontId="18" fillId="8" borderId="52" xfId="0" applyNumberFormat="1" applyFont="1" applyFill="1" applyBorder="1" applyAlignment="1">
      <alignment horizontal="center" vertical="center"/>
    </xf>
    <xf numFmtId="179" fontId="18" fillId="8" borderId="6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52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8" fillId="12" borderId="60" xfId="0" applyFont="1" applyFill="1" applyBorder="1" applyAlignment="1">
      <alignment horizontal="center" vertical="center"/>
    </xf>
    <xf numFmtId="0" fontId="18" fillId="12" borderId="6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177" fontId="17" fillId="3" borderId="43" xfId="0" applyNumberFormat="1" applyFont="1" applyFill="1" applyBorder="1" applyAlignment="1">
      <alignment horizontal="center" vertical="center"/>
    </xf>
    <xf numFmtId="177" fontId="17" fillId="3" borderId="3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/>
    </xf>
    <xf numFmtId="181" fontId="18" fillId="11" borderId="45" xfId="0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177" fontId="20" fillId="3" borderId="43" xfId="0" applyNumberFormat="1" applyFont="1" applyFill="1" applyBorder="1" applyAlignment="1">
      <alignment horizontal="center" vertical="center"/>
    </xf>
    <xf numFmtId="177" fontId="20" fillId="3" borderId="34" xfId="0" applyNumberFormat="1" applyFont="1" applyFill="1" applyBorder="1" applyAlignment="1">
      <alignment horizontal="center" vertical="center"/>
    </xf>
    <xf numFmtId="176" fontId="20" fillId="3" borderId="45" xfId="0" applyNumberFormat="1" applyFont="1" applyFill="1" applyBorder="1" applyAlignment="1">
      <alignment horizontal="center" vertical="center"/>
    </xf>
    <xf numFmtId="176" fontId="20" fillId="3" borderId="43" xfId="0" applyNumberFormat="1" applyFont="1" applyFill="1" applyBorder="1" applyAlignment="1">
      <alignment horizontal="center" vertical="center"/>
    </xf>
    <xf numFmtId="176" fontId="20" fillId="3" borderId="34" xfId="0" applyNumberFormat="1" applyFont="1" applyFill="1" applyBorder="1" applyAlignment="1">
      <alignment horizontal="center" vertical="center"/>
    </xf>
    <xf numFmtId="176" fontId="20" fillId="3" borderId="19" xfId="0" applyNumberFormat="1" applyFont="1" applyFill="1" applyBorder="1" applyAlignment="1">
      <alignment horizontal="center" vertical="center"/>
    </xf>
    <xf numFmtId="178" fontId="20" fillId="3" borderId="43" xfId="0" applyNumberFormat="1" applyFont="1" applyFill="1" applyBorder="1" applyAlignment="1">
      <alignment horizontal="center" vertical="center"/>
    </xf>
    <xf numFmtId="178" fontId="20" fillId="3" borderId="34" xfId="0" applyNumberFormat="1" applyFont="1" applyFill="1" applyBorder="1" applyAlignment="1">
      <alignment horizontal="center" vertical="center"/>
    </xf>
    <xf numFmtId="177" fontId="20" fillId="3" borderId="45" xfId="0" applyNumberFormat="1" applyFont="1" applyFill="1" applyBorder="1" applyAlignment="1">
      <alignment horizontal="center" vertical="center"/>
    </xf>
    <xf numFmtId="179" fontId="20" fillId="3" borderId="19" xfId="0" applyNumberFormat="1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10" borderId="28" xfId="0" applyFont="1" applyFill="1" applyBorder="1" applyAlignment="1">
      <alignment horizontal="center" vertical="center"/>
    </xf>
    <xf numFmtId="0" fontId="20" fillId="10" borderId="36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20" fillId="12" borderId="21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11" borderId="21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12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8" fontId="0" fillId="4" borderId="4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0" fillId="3" borderId="65" xfId="0" applyNumberFormat="1" applyFont="1" applyFill="1" applyBorder="1" applyAlignment="1">
      <alignment horizontal="center" vertical="center"/>
    </xf>
    <xf numFmtId="176" fontId="20" fillId="3" borderId="47" xfId="0" applyNumberFormat="1" applyFont="1" applyFill="1" applyBorder="1" applyAlignment="1">
      <alignment horizontal="center" vertical="center"/>
    </xf>
    <xf numFmtId="178" fontId="20" fillId="3" borderId="47" xfId="0" applyNumberFormat="1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65" xfId="0" applyFont="1" applyFill="1" applyBorder="1" applyAlignment="1">
      <alignment horizontal="center" vertical="center"/>
    </xf>
    <xf numFmtId="177" fontId="20" fillId="3" borderId="47" xfId="0" applyNumberFormat="1" applyFont="1" applyFill="1" applyBorder="1" applyAlignment="1">
      <alignment horizontal="center" vertical="center"/>
    </xf>
    <xf numFmtId="177" fontId="20" fillId="3" borderId="66" xfId="0" applyNumberFormat="1" applyFont="1" applyFill="1" applyBorder="1" applyAlignment="1">
      <alignment horizontal="center" vertical="center"/>
    </xf>
    <xf numFmtId="176" fontId="20" fillId="3" borderId="66" xfId="0" applyNumberFormat="1" applyFont="1" applyFill="1" applyBorder="1" applyAlignment="1">
      <alignment horizontal="center" vertical="center"/>
    </xf>
    <xf numFmtId="178" fontId="20" fillId="3" borderId="66" xfId="0" applyNumberFormat="1" applyFont="1" applyFill="1" applyBorder="1" applyAlignment="1">
      <alignment horizontal="center" vertical="center"/>
    </xf>
    <xf numFmtId="177" fontId="20" fillId="3" borderId="65" xfId="0" applyNumberFormat="1" applyFont="1" applyFill="1" applyBorder="1" applyAlignment="1">
      <alignment horizontal="center" vertical="center"/>
    </xf>
    <xf numFmtId="179" fontId="20" fillId="3" borderId="26" xfId="0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177" fontId="20" fillId="3" borderId="7" xfId="0" applyNumberFormat="1" applyFont="1" applyFill="1" applyBorder="1" applyAlignment="1">
      <alignment horizontal="center" vertical="center"/>
    </xf>
    <xf numFmtId="177" fontId="20" fillId="3" borderId="24" xfId="0" applyNumberFormat="1" applyFont="1" applyFill="1" applyBorder="1" applyAlignment="1">
      <alignment horizontal="center" vertical="center"/>
    </xf>
    <xf numFmtId="176" fontId="20" fillId="3" borderId="12" xfId="0" applyNumberFormat="1" applyFont="1" applyFill="1" applyBorder="1" applyAlignment="1">
      <alignment horizontal="center" vertical="center"/>
    </xf>
    <xf numFmtId="176" fontId="20" fillId="3" borderId="7" xfId="0" applyNumberFormat="1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/>
    </xf>
    <xf numFmtId="178" fontId="20" fillId="3" borderId="7" xfId="0" applyNumberFormat="1" applyFont="1" applyFill="1" applyBorder="1" applyAlignment="1">
      <alignment horizontal="center" vertical="center"/>
    </xf>
    <xf numFmtId="178" fontId="20" fillId="3" borderId="24" xfId="0" applyNumberFormat="1" applyFont="1" applyFill="1" applyBorder="1" applyAlignment="1">
      <alignment horizontal="center" vertical="center"/>
    </xf>
    <xf numFmtId="177" fontId="20" fillId="3" borderId="12" xfId="0" applyNumberFormat="1" applyFont="1" applyFill="1" applyBorder="1" applyAlignment="1">
      <alignment horizontal="center" vertical="center"/>
    </xf>
    <xf numFmtId="179" fontId="20" fillId="3" borderId="61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181" fontId="0" fillId="3" borderId="65" xfId="0" applyNumberFormat="1" applyFill="1" applyBorder="1" applyAlignment="1">
      <alignment horizontal="center" vertical="center"/>
    </xf>
    <xf numFmtId="180" fontId="0" fillId="3" borderId="47" xfId="0" applyNumberFormat="1" applyFill="1" applyBorder="1" applyAlignment="1">
      <alignment horizontal="center" vertical="center"/>
    </xf>
    <xf numFmtId="180" fontId="0" fillId="3" borderId="66" xfId="0" applyNumberForma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181" fontId="0" fillId="3" borderId="12" xfId="0" applyNumberFormat="1" applyFill="1" applyBorder="1" applyAlignment="1">
      <alignment horizontal="center" vertical="center"/>
    </xf>
    <xf numFmtId="180" fontId="0" fillId="3" borderId="7" xfId="0" applyNumberFormat="1" applyFill="1" applyBorder="1" applyAlignment="1">
      <alignment horizontal="center" vertical="center"/>
    </xf>
    <xf numFmtId="180" fontId="0" fillId="3" borderId="24" xfId="0" applyNumberFormat="1" applyFill="1" applyBorder="1" applyAlignment="1">
      <alignment horizontal="center" vertical="center"/>
    </xf>
    <xf numFmtId="176" fontId="17" fillId="3" borderId="6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181" fontId="17" fillId="4" borderId="19" xfId="0" applyNumberFormat="1" applyFont="1" applyFill="1" applyBorder="1" applyAlignment="1">
      <alignment horizontal="center" vertical="center"/>
    </xf>
    <xf numFmtId="180" fontId="0" fillId="4" borderId="45" xfId="0" applyNumberFormat="1" applyFill="1" applyBorder="1" applyAlignment="1">
      <alignment horizontal="center" vertical="center"/>
    </xf>
    <xf numFmtId="181" fontId="0" fillId="12" borderId="73" xfId="0" applyNumberFormat="1" applyFill="1" applyBorder="1" applyAlignment="1">
      <alignment horizontal="center" vertical="center"/>
    </xf>
    <xf numFmtId="180" fontId="0" fillId="12" borderId="65" xfId="0" applyNumberFormat="1" applyFill="1" applyBorder="1" applyAlignment="1">
      <alignment horizontal="center" vertical="center"/>
    </xf>
    <xf numFmtId="180" fontId="0" fillId="12" borderId="47" xfId="0" applyNumberFormat="1" applyFill="1" applyBorder="1" applyAlignment="1">
      <alignment horizontal="center" vertical="center"/>
    </xf>
    <xf numFmtId="180" fontId="0" fillId="12" borderId="66" xfId="0" applyNumberFormat="1" applyFill="1" applyBorder="1" applyAlignment="1">
      <alignment horizontal="center" vertical="center"/>
    </xf>
    <xf numFmtId="0" fontId="0" fillId="12" borderId="46" xfId="0" applyFill="1" applyBorder="1" applyAlignment="1">
      <alignment vertical="center"/>
    </xf>
    <xf numFmtId="0" fontId="0" fillId="12" borderId="29" xfId="0" applyFill="1" applyBorder="1" applyAlignment="1">
      <alignment vertical="center"/>
    </xf>
    <xf numFmtId="0" fontId="0" fillId="12" borderId="28" xfId="0" applyFill="1" applyBorder="1" applyAlignment="1">
      <alignment vertical="center"/>
    </xf>
    <xf numFmtId="0" fontId="14" fillId="12" borderId="61" xfId="0" applyFont="1" applyFill="1" applyBorder="1" applyAlignment="1">
      <alignment horizontal="center" vertical="center"/>
    </xf>
    <xf numFmtId="181" fontId="0" fillId="12" borderId="40" xfId="0" applyNumberFormat="1" applyFill="1" applyBorder="1" applyAlignment="1">
      <alignment horizontal="center" vertical="center"/>
    </xf>
    <xf numFmtId="180" fontId="0" fillId="12" borderId="12" xfId="0" applyNumberFormat="1" applyFill="1" applyBorder="1" applyAlignment="1">
      <alignment horizontal="center" vertical="center"/>
    </xf>
    <xf numFmtId="180" fontId="0" fillId="12" borderId="7" xfId="0" applyNumberFormat="1" applyFill="1" applyBorder="1" applyAlignment="1">
      <alignment horizontal="center" vertical="center"/>
    </xf>
    <xf numFmtId="180" fontId="0" fillId="12" borderId="24" xfId="0" applyNumberFormat="1" applyFill="1" applyBorder="1" applyAlignment="1">
      <alignment horizontal="center" vertical="center"/>
    </xf>
    <xf numFmtId="0" fontId="0" fillId="12" borderId="69" xfId="0" applyFill="1" applyBorder="1" applyAlignment="1">
      <alignment vertical="center"/>
    </xf>
    <xf numFmtId="0" fontId="0" fillId="12" borderId="41" xfId="0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80" fontId="0" fillId="5" borderId="55" xfId="0" applyNumberFormat="1" applyFill="1" applyBorder="1" applyAlignment="1">
      <alignment horizontal="center" vertical="center"/>
    </xf>
    <xf numFmtId="180" fontId="0" fillId="5" borderId="57" xfId="0" applyNumberFormat="1" applyFill="1" applyBorder="1" applyAlignment="1">
      <alignment horizontal="center" vertical="center"/>
    </xf>
    <xf numFmtId="178" fontId="0" fillId="5" borderId="57" xfId="0" applyNumberForma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181" fontId="0" fillId="0" borderId="38" xfId="0" applyNumberFormat="1" applyFill="1" applyBorder="1" applyAlignment="1">
      <alignment horizontal="center" vertical="center"/>
    </xf>
    <xf numFmtId="180" fontId="0" fillId="0" borderId="52" xfId="0" applyNumberForma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180" fontId="0" fillId="0" borderId="18" xfId="0" applyNumberForma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176" fontId="0" fillId="0" borderId="5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64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177" fontId="0" fillId="0" borderId="52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179" fontId="0" fillId="0" borderId="64" xfId="0" applyNumberForma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81" fontId="0" fillId="5" borderId="65" xfId="0" applyNumberFormat="1" applyFill="1" applyBorder="1" applyAlignment="1">
      <alignment horizontal="center" vertical="center"/>
    </xf>
    <xf numFmtId="180" fontId="0" fillId="5" borderId="47" xfId="0" applyNumberFormat="1" applyFill="1" applyBorder="1" applyAlignment="1">
      <alignment horizontal="center" vertical="center"/>
    </xf>
    <xf numFmtId="180" fontId="0" fillId="5" borderId="66" xfId="0" applyNumberFormat="1" applyFill="1" applyBorder="1" applyAlignment="1">
      <alignment horizontal="center" vertical="center"/>
    </xf>
    <xf numFmtId="181" fontId="0" fillId="5" borderId="12" xfId="0" applyNumberFormat="1" applyFill="1" applyBorder="1" applyAlignment="1">
      <alignment horizontal="center" vertical="center"/>
    </xf>
    <xf numFmtId="180" fontId="0" fillId="5" borderId="7" xfId="0" applyNumberFormat="1" applyFill="1" applyBorder="1" applyAlignment="1">
      <alignment horizontal="center" vertical="center"/>
    </xf>
    <xf numFmtId="180" fontId="0" fillId="5" borderId="24" xfId="0" applyNumberForma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14" fillId="5" borderId="64" xfId="0" applyFont="1" applyFill="1" applyBorder="1" applyAlignment="1">
      <alignment horizontal="center" vertical="center"/>
    </xf>
    <xf numFmtId="181" fontId="0" fillId="5" borderId="52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  <xf numFmtId="180" fontId="0" fillId="5" borderId="18" xfId="0" applyNumberFormat="1" applyFill="1" applyBorder="1" applyAlignment="1">
      <alignment horizontal="center" vertical="center"/>
    </xf>
    <xf numFmtId="176" fontId="0" fillId="5" borderId="52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18" xfId="0" applyNumberFormat="1" applyFill="1" applyBorder="1" applyAlignment="1">
      <alignment horizontal="center" vertical="center"/>
    </xf>
    <xf numFmtId="176" fontId="0" fillId="5" borderId="64" xfId="0" applyNumberFormat="1" applyFill="1" applyBorder="1" applyAlignment="1">
      <alignment horizontal="center" vertical="center"/>
    </xf>
    <xf numFmtId="177" fontId="0" fillId="5" borderId="52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18" xfId="0" applyNumberFormat="1" applyFill="1" applyBorder="1" applyAlignment="1">
      <alignment horizontal="center" vertical="center"/>
    </xf>
    <xf numFmtId="179" fontId="0" fillId="5" borderId="64" xfId="0" applyNumberFormat="1" applyFill="1" applyBorder="1" applyAlignment="1">
      <alignment horizontal="center" vertical="center"/>
    </xf>
    <xf numFmtId="0" fontId="20" fillId="5" borderId="30" xfId="0" applyFont="1" applyFill="1" applyBorder="1" applyAlignment="1">
      <alignment horizontal="center" vertical="center"/>
    </xf>
    <xf numFmtId="181" fontId="0" fillId="5" borderId="42" xfId="0" applyNumberFormat="1" applyFill="1" applyBorder="1" applyAlignment="1">
      <alignment horizontal="center" vertical="center"/>
    </xf>
    <xf numFmtId="180" fontId="0" fillId="10" borderId="45" xfId="0" applyNumberFormat="1" applyFill="1" applyBorder="1" applyAlignment="1">
      <alignment horizontal="center" vertical="center"/>
    </xf>
    <xf numFmtId="180" fontId="0" fillId="10" borderId="34" xfId="0" applyNumberFormat="1" applyFill="1" applyBorder="1" applyAlignment="1">
      <alignment horizontal="center" vertical="center"/>
    </xf>
    <xf numFmtId="176" fontId="19" fillId="10" borderId="19" xfId="0" applyNumberFormat="1" applyFont="1" applyFill="1" applyBorder="1" applyAlignment="1">
      <alignment horizontal="center" vertical="center"/>
    </xf>
    <xf numFmtId="180" fontId="5" fillId="0" borderId="45" xfId="0" applyNumberFormat="1" applyFont="1" applyBorder="1" applyAlignment="1">
      <alignment horizontal="center" vertical="center"/>
    </xf>
    <xf numFmtId="180" fontId="5" fillId="0" borderId="43" xfId="0" applyNumberFormat="1" applyFont="1" applyBorder="1" applyAlignment="1">
      <alignment horizontal="center" vertical="center"/>
    </xf>
    <xf numFmtId="180" fontId="5" fillId="0" borderId="34" xfId="0" applyNumberFormat="1" applyFont="1" applyBorder="1" applyAlignment="1">
      <alignment horizontal="center" vertical="center"/>
    </xf>
    <xf numFmtId="180" fontId="0" fillId="6" borderId="16" xfId="0" applyNumberFormat="1" applyFill="1" applyBorder="1" applyAlignment="1">
      <alignment horizontal="center" vertical="center"/>
    </xf>
    <xf numFmtId="180" fontId="0" fillId="6" borderId="15" xfId="0" applyNumberFormat="1" applyFill="1" applyBorder="1" applyAlignment="1">
      <alignment horizontal="center" vertical="center"/>
    </xf>
    <xf numFmtId="180" fontId="0" fillId="6" borderId="25" xfId="0" applyNumberFormat="1" applyFill="1" applyBorder="1" applyAlignment="1">
      <alignment horizontal="center" vertical="center"/>
    </xf>
    <xf numFmtId="180" fontId="0" fillId="10" borderId="43" xfId="0" applyNumberFormat="1" applyFill="1" applyBorder="1" applyAlignment="1">
      <alignment horizontal="center" vertical="center"/>
    </xf>
    <xf numFmtId="180" fontId="0" fillId="6" borderId="11" xfId="0" applyNumberFormat="1" applyFill="1" applyBorder="1" applyAlignment="1">
      <alignment horizontal="center" vertical="center"/>
    </xf>
    <xf numFmtId="180" fontId="0" fillId="6" borderId="3" xfId="0" applyNumberFormat="1" applyFill="1" applyBorder="1" applyAlignment="1">
      <alignment horizontal="center" vertical="center"/>
    </xf>
    <xf numFmtId="180" fontId="0" fillId="6" borderId="56" xfId="0" applyNumberFormat="1" applyFill="1" applyBorder="1" applyAlignment="1">
      <alignment horizontal="center" vertical="center"/>
    </xf>
    <xf numFmtId="180" fontId="0" fillId="4" borderId="11" xfId="0" applyNumberFormat="1" applyFill="1" applyBorder="1" applyAlignment="1">
      <alignment horizontal="center" vertical="center"/>
    </xf>
    <xf numFmtId="180" fontId="0" fillId="4" borderId="3" xfId="0" applyNumberFormat="1" applyFill="1" applyBorder="1" applyAlignment="1">
      <alignment horizontal="center" vertical="center"/>
    </xf>
    <xf numFmtId="180" fontId="0" fillId="4" borderId="56" xfId="0" applyNumberFormat="1" applyFill="1" applyBorder="1" applyAlignment="1">
      <alignment horizontal="center" vertical="center"/>
    </xf>
    <xf numFmtId="180" fontId="18" fillId="4" borderId="52" xfId="0" applyNumberFormat="1" applyFont="1" applyFill="1" applyBorder="1" applyAlignment="1">
      <alignment horizontal="center" vertical="center"/>
    </xf>
    <xf numFmtId="180" fontId="18" fillId="4" borderId="1" xfId="0" applyNumberFormat="1" applyFont="1" applyFill="1" applyBorder="1" applyAlignment="1">
      <alignment horizontal="center" vertical="center"/>
    </xf>
    <xf numFmtId="180" fontId="18" fillId="4" borderId="18" xfId="0" applyNumberFormat="1" applyFont="1" applyFill="1" applyBorder="1" applyAlignment="1">
      <alignment horizontal="center" vertical="center"/>
    </xf>
    <xf numFmtId="180" fontId="0" fillId="4" borderId="42" xfId="0" applyNumberFormat="1" applyFill="1" applyBorder="1" applyAlignment="1">
      <alignment horizontal="center" vertical="center"/>
    </xf>
    <xf numFmtId="180" fontId="0" fillId="4" borderId="55" xfId="0" applyNumberFormat="1" applyFill="1" applyBorder="1" applyAlignment="1">
      <alignment horizontal="center" vertical="center"/>
    </xf>
    <xf numFmtId="180" fontId="0" fillId="4" borderId="57" xfId="0" applyNumberFormat="1" applyFill="1" applyBorder="1" applyAlignment="1">
      <alignment horizontal="center" vertical="center"/>
    </xf>
    <xf numFmtId="180" fontId="17" fillId="10" borderId="43" xfId="0" applyNumberFormat="1" applyFont="1" applyFill="1" applyBorder="1" applyAlignment="1">
      <alignment horizontal="center" vertical="center"/>
    </xf>
    <xf numFmtId="180" fontId="17" fillId="10" borderId="34" xfId="0" applyNumberFormat="1" applyFont="1" applyFill="1" applyBorder="1" applyAlignment="1">
      <alignment horizontal="center" vertical="center"/>
    </xf>
    <xf numFmtId="180" fontId="17" fillId="3" borderId="11" xfId="0" applyNumberFormat="1" applyFont="1" applyFill="1" applyBorder="1" applyAlignment="1">
      <alignment horizontal="center" vertical="center"/>
    </xf>
    <xf numFmtId="180" fontId="17" fillId="3" borderId="3" xfId="0" applyNumberFormat="1" applyFont="1" applyFill="1" applyBorder="1" applyAlignment="1">
      <alignment horizontal="center" vertical="center"/>
    </xf>
    <xf numFmtId="180" fontId="17" fillId="3" borderId="56" xfId="0" applyNumberFormat="1" applyFont="1" applyFill="1" applyBorder="1" applyAlignment="1">
      <alignment horizontal="center" vertical="center"/>
    </xf>
    <xf numFmtId="180" fontId="0" fillId="3" borderId="52" xfId="0" applyNumberFormat="1" applyFill="1" applyBorder="1" applyAlignment="1">
      <alignment horizontal="center" vertical="center"/>
    </xf>
    <xf numFmtId="180" fontId="0" fillId="3" borderId="1" xfId="0" applyNumberFormat="1" applyFill="1" applyBorder="1" applyAlignment="1">
      <alignment horizontal="center" vertical="center"/>
    </xf>
    <xf numFmtId="180" fontId="0" fillId="3" borderId="18" xfId="0" applyNumberFormat="1" applyFill="1" applyBorder="1" applyAlignment="1">
      <alignment horizontal="center" vertical="center"/>
    </xf>
    <xf numFmtId="180" fontId="0" fillId="3" borderId="58" xfId="0" applyNumberFormat="1" applyFill="1" applyBorder="1" applyAlignment="1">
      <alignment horizontal="center" vertical="center"/>
    </xf>
    <xf numFmtId="180" fontId="0" fillId="3" borderId="51" xfId="0" applyNumberFormat="1" applyFill="1" applyBorder="1" applyAlignment="1">
      <alignment horizontal="center" vertical="center"/>
    </xf>
    <xf numFmtId="180" fontId="0" fillId="3" borderId="50" xfId="0" applyNumberFormat="1" applyFill="1" applyBorder="1" applyAlignment="1">
      <alignment horizontal="center" vertical="center"/>
    </xf>
    <xf numFmtId="180" fontId="17" fillId="4" borderId="45" xfId="0" applyNumberFormat="1" applyFont="1" applyFill="1" applyBorder="1" applyAlignment="1">
      <alignment horizontal="center" vertical="center"/>
    </xf>
    <xf numFmtId="180" fontId="17" fillId="4" borderId="43" xfId="0" applyNumberFormat="1" applyFont="1" applyFill="1" applyBorder="1" applyAlignment="1">
      <alignment horizontal="center" vertical="center"/>
    </xf>
    <xf numFmtId="180" fontId="17" fillId="4" borderId="34" xfId="0" applyNumberFormat="1" applyFont="1" applyFill="1" applyBorder="1" applyAlignment="1">
      <alignment horizontal="center" vertical="center"/>
    </xf>
    <xf numFmtId="180" fontId="0" fillId="5" borderId="11" xfId="0" applyNumberFormat="1" applyFill="1" applyBorder="1" applyAlignment="1">
      <alignment horizontal="center" vertical="center"/>
    </xf>
    <xf numFmtId="180" fontId="0" fillId="5" borderId="3" xfId="0" applyNumberFormat="1" applyFill="1" applyBorder="1" applyAlignment="1">
      <alignment horizontal="center" vertical="center"/>
    </xf>
    <xf numFmtId="180" fontId="0" fillId="5" borderId="56" xfId="0" applyNumberFormat="1" applyFill="1" applyBorder="1" applyAlignment="1">
      <alignment horizontal="center" vertical="center"/>
    </xf>
    <xf numFmtId="180" fontId="0" fillId="5" borderId="12" xfId="0" applyNumberFormat="1" applyFill="1" applyBorder="1" applyAlignment="1">
      <alignment horizontal="center" vertical="center"/>
    </xf>
    <xf numFmtId="180" fontId="0" fillId="5" borderId="42" xfId="0" applyNumberFormat="1" applyFill="1" applyBorder="1" applyAlignment="1">
      <alignment horizontal="center" vertical="center"/>
    </xf>
    <xf numFmtId="180" fontId="19" fillId="4" borderId="42" xfId="0" applyNumberFormat="1" applyFont="1" applyFill="1" applyBorder="1" applyAlignment="1">
      <alignment horizontal="center" vertical="center"/>
    </xf>
    <xf numFmtId="180" fontId="19" fillId="4" borderId="55" xfId="0" applyNumberFormat="1" applyFont="1" applyFill="1" applyBorder="1" applyAlignment="1">
      <alignment horizontal="center" vertical="center"/>
    </xf>
    <xf numFmtId="180" fontId="17" fillId="4" borderId="55" xfId="0" applyNumberFormat="1" applyFont="1" applyFill="1" applyBorder="1" applyAlignment="1">
      <alignment horizontal="center" vertical="center"/>
    </xf>
    <xf numFmtId="180" fontId="17" fillId="4" borderId="57" xfId="0" applyNumberFormat="1" applyFont="1" applyFill="1" applyBorder="1" applyAlignment="1">
      <alignment horizontal="center" vertical="center"/>
    </xf>
    <xf numFmtId="180" fontId="0" fillId="4" borderId="65" xfId="0" applyNumberFormat="1" applyFill="1" applyBorder="1" applyAlignment="1">
      <alignment horizontal="center" vertical="center"/>
    </xf>
    <xf numFmtId="180" fontId="0" fillId="4" borderId="47" xfId="0" applyNumberFormat="1" applyFill="1" applyBorder="1" applyAlignment="1">
      <alignment horizontal="center" vertical="center"/>
    </xf>
    <xf numFmtId="180" fontId="0" fillId="4" borderId="66" xfId="0" applyNumberFormat="1" applyFill="1" applyBorder="1" applyAlignment="1">
      <alignment horizontal="center" vertical="center"/>
    </xf>
    <xf numFmtId="180" fontId="0" fillId="4" borderId="52" xfId="0" applyNumberFormat="1" applyFill="1" applyBorder="1" applyAlignment="1">
      <alignment horizontal="center" vertical="center"/>
    </xf>
    <xf numFmtId="180" fontId="0" fillId="4" borderId="1" xfId="0" applyNumberFormat="1" applyFill="1" applyBorder="1" applyAlignment="1">
      <alignment horizontal="center" vertical="center"/>
    </xf>
    <xf numFmtId="180" fontId="0" fillId="4" borderId="18" xfId="0" applyNumberFormat="1" applyFill="1" applyBorder="1" applyAlignment="1">
      <alignment horizontal="center" vertical="center"/>
    </xf>
    <xf numFmtId="180" fontId="0" fillId="4" borderId="12" xfId="0" applyNumberFormat="1" applyFill="1" applyBorder="1" applyAlignment="1">
      <alignment horizontal="center" vertical="center"/>
    </xf>
    <xf numFmtId="180" fontId="0" fillId="4" borderId="7" xfId="0" applyNumberFormat="1" applyFill="1" applyBorder="1" applyAlignment="1">
      <alignment horizontal="center" vertical="center"/>
    </xf>
    <xf numFmtId="180" fontId="0" fillId="4" borderId="24" xfId="0" applyNumberFormat="1" applyFill="1" applyBorder="1" applyAlignment="1">
      <alignment horizontal="center" vertical="center"/>
    </xf>
    <xf numFmtId="180" fontId="0" fillId="3" borderId="59" xfId="0" applyNumberFormat="1" applyFill="1" applyBorder="1" applyAlignment="1">
      <alignment horizontal="center" vertical="center"/>
    </xf>
    <xf numFmtId="180" fontId="0" fillId="3" borderId="54" xfId="0" applyNumberFormat="1" applyFill="1" applyBorder="1" applyAlignment="1">
      <alignment horizontal="center" vertical="center"/>
    </xf>
    <xf numFmtId="180" fontId="0" fillId="3" borderId="32" xfId="0" applyNumberFormat="1" applyFill="1" applyBorder="1" applyAlignment="1">
      <alignment horizontal="center" vertical="center"/>
    </xf>
    <xf numFmtId="180" fontId="17" fillId="3" borderId="65" xfId="0" applyNumberFormat="1" applyFont="1" applyFill="1" applyBorder="1" applyAlignment="1">
      <alignment horizontal="center" vertical="center"/>
    </xf>
    <xf numFmtId="180" fontId="17" fillId="3" borderId="47" xfId="0" applyNumberFormat="1" applyFont="1" applyFill="1" applyBorder="1" applyAlignment="1">
      <alignment horizontal="center" vertical="center"/>
    </xf>
    <xf numFmtId="180" fontId="17" fillId="3" borderId="66" xfId="0" applyNumberFormat="1" applyFont="1" applyFill="1" applyBorder="1" applyAlignment="1">
      <alignment horizontal="center" vertical="center"/>
    </xf>
    <xf numFmtId="180" fontId="0" fillId="3" borderId="65" xfId="0" applyNumberFormat="1" applyFill="1" applyBorder="1" applyAlignment="1">
      <alignment horizontal="center" vertical="center"/>
    </xf>
    <xf numFmtId="180" fontId="17" fillId="3" borderId="12" xfId="0" applyNumberFormat="1" applyFont="1" applyFill="1" applyBorder="1" applyAlignment="1">
      <alignment horizontal="center" vertical="center"/>
    </xf>
    <xf numFmtId="180" fontId="17" fillId="3" borderId="7" xfId="0" applyNumberFormat="1" applyFont="1" applyFill="1" applyBorder="1" applyAlignment="1">
      <alignment horizontal="center" vertical="center"/>
    </xf>
    <xf numFmtId="180" fontId="17" fillId="3" borderId="24" xfId="0" applyNumberFormat="1" applyFont="1" applyFill="1" applyBorder="1" applyAlignment="1">
      <alignment horizontal="center" vertical="center"/>
    </xf>
    <xf numFmtId="180" fontId="0" fillId="8" borderId="65" xfId="0" applyNumberFormat="1" applyFill="1" applyBorder="1" applyAlignment="1">
      <alignment horizontal="center" vertical="center"/>
    </xf>
    <xf numFmtId="180" fontId="0" fillId="8" borderId="47" xfId="0" applyNumberFormat="1" applyFill="1" applyBorder="1" applyAlignment="1">
      <alignment horizontal="center" vertical="center"/>
    </xf>
    <xf numFmtId="180" fontId="0" fillId="8" borderId="66" xfId="0" applyNumberFormat="1" applyFill="1" applyBorder="1" applyAlignment="1">
      <alignment horizontal="center" vertical="center"/>
    </xf>
    <xf numFmtId="180" fontId="18" fillId="8" borderId="12" xfId="0" applyNumberFormat="1" applyFont="1" applyFill="1" applyBorder="1" applyAlignment="1">
      <alignment horizontal="center" vertical="center"/>
    </xf>
    <xf numFmtId="180" fontId="18" fillId="8" borderId="7" xfId="0" applyNumberFormat="1" applyFont="1" applyFill="1" applyBorder="1" applyAlignment="1">
      <alignment horizontal="center" vertical="center"/>
    </xf>
    <xf numFmtId="180" fontId="18" fillId="8" borderId="24" xfId="0" applyNumberFormat="1" applyFont="1" applyFill="1" applyBorder="1" applyAlignment="1">
      <alignment horizontal="center" vertical="center"/>
    </xf>
    <xf numFmtId="180" fontId="0" fillId="10" borderId="65" xfId="0" applyNumberFormat="1" applyFill="1" applyBorder="1" applyAlignment="1">
      <alignment horizontal="center" vertical="center"/>
    </xf>
    <xf numFmtId="180" fontId="0" fillId="10" borderId="47" xfId="0" applyNumberFormat="1" applyFill="1" applyBorder="1" applyAlignment="1">
      <alignment horizontal="center" vertical="center"/>
    </xf>
    <xf numFmtId="180" fontId="0" fillId="10" borderId="66" xfId="0" applyNumberFormat="1" applyFill="1" applyBorder="1" applyAlignment="1">
      <alignment horizontal="center" vertical="center"/>
    </xf>
    <xf numFmtId="180" fontId="0" fillId="10" borderId="58" xfId="0" applyNumberFormat="1" applyFill="1" applyBorder="1" applyAlignment="1">
      <alignment horizontal="center" vertical="center"/>
    </xf>
    <xf numFmtId="180" fontId="0" fillId="10" borderId="51" xfId="0" applyNumberFormat="1" applyFill="1" applyBorder="1" applyAlignment="1">
      <alignment horizontal="center" vertical="center"/>
    </xf>
    <xf numFmtId="180" fontId="0" fillId="10" borderId="50" xfId="0" applyNumberFormat="1" applyFill="1" applyBorder="1" applyAlignment="1">
      <alignment horizontal="center" vertical="center"/>
    </xf>
    <xf numFmtId="180" fontId="18" fillId="8" borderId="11" xfId="0" applyNumberFormat="1" applyFont="1" applyFill="1" applyBorder="1" applyAlignment="1">
      <alignment horizontal="center" vertical="center"/>
    </xf>
    <xf numFmtId="180" fontId="18" fillId="8" borderId="3" xfId="0" applyNumberFormat="1" applyFont="1" applyFill="1" applyBorder="1" applyAlignment="1">
      <alignment horizontal="center" vertical="center"/>
    </xf>
    <xf numFmtId="180" fontId="18" fillId="8" borderId="56" xfId="0" applyNumberFormat="1" applyFont="1" applyFill="1" applyBorder="1" applyAlignment="1">
      <alignment horizontal="center" vertical="center"/>
    </xf>
    <xf numFmtId="180" fontId="18" fillId="8" borderId="52" xfId="0" applyNumberFormat="1" applyFont="1" applyFill="1" applyBorder="1" applyAlignment="1">
      <alignment horizontal="center" vertical="center"/>
    </xf>
    <xf numFmtId="180" fontId="18" fillId="8" borderId="1" xfId="0" applyNumberFormat="1" applyFont="1" applyFill="1" applyBorder="1" applyAlignment="1">
      <alignment horizontal="center" vertical="center"/>
    </xf>
    <xf numFmtId="180" fontId="18" fillId="8" borderId="18" xfId="0" applyNumberFormat="1" applyFont="1" applyFill="1" applyBorder="1" applyAlignment="1">
      <alignment horizontal="center" vertical="center"/>
    </xf>
    <xf numFmtId="180" fontId="0" fillId="3" borderId="45" xfId="0" applyNumberFormat="1" applyFill="1" applyBorder="1" applyAlignment="1">
      <alignment horizontal="center" vertical="center"/>
    </xf>
    <xf numFmtId="180" fontId="17" fillId="3" borderId="43" xfId="0" applyNumberFormat="1" applyFont="1" applyFill="1" applyBorder="1" applyAlignment="1">
      <alignment horizontal="center" vertical="center"/>
    </xf>
    <xf numFmtId="180" fontId="17" fillId="3" borderId="34" xfId="0" applyNumberFormat="1" applyFont="1" applyFill="1" applyBorder="1" applyAlignment="1">
      <alignment horizontal="center" vertical="center"/>
    </xf>
    <xf numFmtId="180" fontId="0" fillId="12" borderId="11" xfId="0" applyNumberFormat="1" applyFill="1" applyBorder="1" applyAlignment="1">
      <alignment horizontal="center" vertical="center"/>
    </xf>
    <xf numFmtId="180" fontId="0" fillId="12" borderId="3" xfId="0" applyNumberFormat="1" applyFill="1" applyBorder="1" applyAlignment="1">
      <alignment horizontal="center" vertical="center"/>
    </xf>
    <xf numFmtId="180" fontId="0" fillId="12" borderId="52" xfId="0" applyNumberFormat="1" applyFill="1" applyBorder="1" applyAlignment="1">
      <alignment horizontal="center" vertical="center"/>
    </xf>
    <xf numFmtId="180" fontId="0" fillId="12" borderId="1" xfId="0" applyNumberFormat="1" applyFill="1" applyBorder="1" applyAlignment="1">
      <alignment horizontal="center" vertical="center"/>
    </xf>
    <xf numFmtId="180" fontId="17" fillId="12" borderId="65" xfId="0" applyNumberFormat="1" applyFont="1" applyFill="1" applyBorder="1" applyAlignment="1">
      <alignment horizontal="center" vertical="center"/>
    </xf>
    <xf numFmtId="180" fontId="17" fillId="12" borderId="47" xfId="0" applyNumberFormat="1" applyFont="1" applyFill="1" applyBorder="1" applyAlignment="1">
      <alignment horizontal="center" vertical="center"/>
    </xf>
    <xf numFmtId="180" fontId="18" fillId="12" borderId="12" xfId="0" applyNumberFormat="1" applyFont="1" applyFill="1" applyBorder="1" applyAlignment="1">
      <alignment horizontal="center" vertical="center"/>
    </xf>
    <xf numFmtId="180" fontId="18" fillId="12" borderId="7" xfId="0" applyNumberFormat="1" applyFont="1" applyFill="1" applyBorder="1" applyAlignment="1">
      <alignment horizontal="center" vertical="center"/>
    </xf>
    <xf numFmtId="180" fontId="0" fillId="5" borderId="65" xfId="0" applyNumberFormat="1" applyFill="1" applyBorder="1" applyAlignment="1">
      <alignment horizontal="center" vertical="center"/>
    </xf>
    <xf numFmtId="180" fontId="0" fillId="5" borderId="45" xfId="0" applyNumberFormat="1" applyFill="1" applyBorder="1" applyAlignment="1">
      <alignment horizontal="center" vertical="center"/>
    </xf>
    <xf numFmtId="180" fontId="0" fillId="6" borderId="45" xfId="0" applyNumberFormat="1" applyFill="1" applyBorder="1" applyAlignment="1">
      <alignment horizontal="center" vertical="center"/>
    </xf>
    <xf numFmtId="180" fontId="17" fillId="3" borderId="45" xfId="0" applyNumberFormat="1" applyFont="1" applyFill="1" applyBorder="1" applyAlignment="1">
      <alignment horizontal="center" vertical="center"/>
    </xf>
    <xf numFmtId="180" fontId="0" fillId="11" borderId="45" xfId="0" applyNumberFormat="1" applyFill="1" applyBorder="1" applyAlignment="1">
      <alignment horizontal="center" vertical="center"/>
    </xf>
    <xf numFmtId="180" fontId="0" fillId="5" borderId="52" xfId="0" applyNumberFormat="1" applyFill="1" applyBorder="1" applyAlignment="1">
      <alignment horizontal="center" vertical="center"/>
    </xf>
    <xf numFmtId="180" fontId="0" fillId="3" borderId="12" xfId="0" applyNumberFormat="1" applyFill="1" applyBorder="1" applyAlignment="1">
      <alignment horizontal="center" vertical="center"/>
    </xf>
    <xf numFmtId="180" fontId="20" fillId="3" borderId="45" xfId="0" applyNumberFormat="1" applyFont="1" applyFill="1" applyBorder="1" applyAlignment="1">
      <alignment horizontal="center" vertical="center"/>
    </xf>
    <xf numFmtId="180" fontId="20" fillId="3" borderId="43" xfId="0" applyNumberFormat="1" applyFont="1" applyFill="1" applyBorder="1" applyAlignment="1">
      <alignment horizontal="center" vertical="center"/>
    </xf>
    <xf numFmtId="180" fontId="20" fillId="3" borderId="34" xfId="0" applyNumberFormat="1" applyFont="1" applyFill="1" applyBorder="1" applyAlignment="1">
      <alignment horizontal="center" vertical="center"/>
    </xf>
    <xf numFmtId="180" fontId="20" fillId="3" borderId="65" xfId="0" applyNumberFormat="1" applyFont="1" applyFill="1" applyBorder="1" applyAlignment="1">
      <alignment horizontal="center" vertical="center"/>
    </xf>
    <xf numFmtId="180" fontId="20" fillId="3" borderId="47" xfId="0" applyNumberFormat="1" applyFont="1" applyFill="1" applyBorder="1" applyAlignment="1">
      <alignment horizontal="center" vertical="center"/>
    </xf>
    <xf numFmtId="180" fontId="20" fillId="3" borderId="66" xfId="0" applyNumberFormat="1" applyFont="1" applyFill="1" applyBorder="1" applyAlignment="1">
      <alignment horizontal="center" vertical="center"/>
    </xf>
    <xf numFmtId="180" fontId="20" fillId="3" borderId="12" xfId="0" applyNumberFormat="1" applyFont="1" applyFill="1" applyBorder="1" applyAlignment="1">
      <alignment horizontal="center" vertical="center"/>
    </xf>
    <xf numFmtId="180" fontId="20" fillId="3" borderId="7" xfId="0" applyNumberFormat="1" applyFont="1" applyFill="1" applyBorder="1" applyAlignment="1">
      <alignment horizontal="center" vertical="center"/>
    </xf>
    <xf numFmtId="180" fontId="20" fillId="3" borderId="24" xfId="0" applyNumberFormat="1" applyFont="1" applyFill="1" applyBorder="1" applyAlignment="1">
      <alignment horizontal="center" vertical="center"/>
    </xf>
    <xf numFmtId="180" fontId="0" fillId="0" borderId="52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1" fontId="0" fillId="4" borderId="65" xfId="0" applyNumberFormat="1" applyFill="1" applyBorder="1" applyAlignment="1">
      <alignment horizontal="center" vertical="center"/>
    </xf>
    <xf numFmtId="178" fontId="0" fillId="4" borderId="66" xfId="0" applyNumberFormat="1" applyFill="1" applyBorder="1" applyAlignment="1">
      <alignment horizontal="center" vertical="center"/>
    </xf>
    <xf numFmtId="181" fontId="0" fillId="4" borderId="12" xfId="0" applyNumberFormat="1" applyFill="1" applyBorder="1" applyAlignment="1">
      <alignment horizontal="center" vertical="center"/>
    </xf>
    <xf numFmtId="178" fontId="0" fillId="4" borderId="2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17" fillId="3" borderId="20" xfId="0" applyNumberFormat="1" applyFont="1" applyFill="1" applyBorder="1" applyAlignment="1">
      <alignment horizontal="center" vertical="center"/>
    </xf>
    <xf numFmtId="176" fontId="17" fillId="3" borderId="64" xfId="0" applyNumberFormat="1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177" fontId="0" fillId="3" borderId="55" xfId="0" applyNumberFormat="1" applyFill="1" applyBorder="1" applyAlignment="1">
      <alignment horizontal="center" vertical="center"/>
    </xf>
    <xf numFmtId="177" fontId="0" fillId="3" borderId="57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0" fillId="3" borderId="42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176" fontId="0" fillId="3" borderId="57" xfId="0" applyNumberFormat="1" applyFill="1" applyBorder="1" applyAlignment="1">
      <alignment horizontal="center" vertical="center"/>
    </xf>
    <xf numFmtId="178" fontId="0" fillId="3" borderId="55" xfId="0" applyNumberFormat="1" applyFill="1" applyBorder="1" applyAlignment="1">
      <alignment horizontal="center" vertical="center"/>
    </xf>
    <xf numFmtId="178" fontId="0" fillId="3" borderId="57" xfId="0" applyNumberFormat="1" applyFill="1" applyBorder="1" applyAlignment="1">
      <alignment horizontal="center" vertical="center"/>
    </xf>
    <xf numFmtId="177" fontId="0" fillId="3" borderId="42" xfId="0" applyNumberFormat="1" applyFill="1" applyBorder="1" applyAlignment="1">
      <alignment horizontal="center" vertical="center"/>
    </xf>
    <xf numFmtId="179" fontId="0" fillId="3" borderId="20" xfId="0" applyNumberForma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180" fontId="0" fillId="3" borderId="42" xfId="0" applyNumberFormat="1" applyFill="1" applyBorder="1" applyAlignment="1">
      <alignment horizontal="center" vertical="center"/>
    </xf>
    <xf numFmtId="180" fontId="0" fillId="3" borderId="55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20" fillId="8" borderId="36" xfId="0" applyFont="1" applyFill="1" applyBorder="1" applyAlignment="1">
      <alignment horizontal="center" vertical="center"/>
    </xf>
    <xf numFmtId="0" fontId="18" fillId="8" borderId="63" xfId="0" applyFont="1" applyFill="1" applyBorder="1" applyAlignment="1">
      <alignment horizontal="center" vertical="center" wrapText="1"/>
    </xf>
    <xf numFmtId="0" fontId="18" fillId="8" borderId="58" xfId="0" applyFont="1" applyFill="1" applyBorder="1" applyAlignment="1">
      <alignment horizontal="center" vertical="center"/>
    </xf>
    <xf numFmtId="177" fontId="18" fillId="8" borderId="51" xfId="0" applyNumberFormat="1" applyFont="1" applyFill="1" applyBorder="1" applyAlignment="1">
      <alignment horizontal="center" vertical="center"/>
    </xf>
    <xf numFmtId="177" fontId="18" fillId="8" borderId="50" xfId="0" applyNumberFormat="1" applyFont="1" applyFill="1" applyBorder="1" applyAlignment="1">
      <alignment horizontal="center" vertical="center"/>
    </xf>
    <xf numFmtId="0" fontId="18" fillId="8" borderId="63" xfId="0" applyFont="1" applyFill="1" applyBorder="1" applyAlignment="1">
      <alignment horizontal="center" vertical="center"/>
    </xf>
    <xf numFmtId="176" fontId="18" fillId="8" borderId="58" xfId="0" applyNumberFormat="1" applyFont="1" applyFill="1" applyBorder="1" applyAlignment="1">
      <alignment horizontal="center" vertical="center"/>
    </xf>
    <xf numFmtId="176" fontId="18" fillId="8" borderId="51" xfId="0" applyNumberFormat="1" applyFont="1" applyFill="1" applyBorder="1" applyAlignment="1">
      <alignment horizontal="center" vertical="center"/>
    </xf>
    <xf numFmtId="176" fontId="18" fillId="8" borderId="50" xfId="0" applyNumberFormat="1" applyFont="1" applyFill="1" applyBorder="1" applyAlignment="1">
      <alignment horizontal="center" vertical="center"/>
    </xf>
    <xf numFmtId="176" fontId="18" fillId="8" borderId="63" xfId="0" applyNumberFormat="1" applyFont="1" applyFill="1" applyBorder="1" applyAlignment="1">
      <alignment horizontal="center" vertical="center"/>
    </xf>
    <xf numFmtId="178" fontId="18" fillId="8" borderId="51" xfId="0" applyNumberFormat="1" applyFont="1" applyFill="1" applyBorder="1" applyAlignment="1">
      <alignment horizontal="center" vertical="center"/>
    </xf>
    <xf numFmtId="178" fontId="18" fillId="8" borderId="50" xfId="0" applyNumberFormat="1" applyFont="1" applyFill="1" applyBorder="1" applyAlignment="1">
      <alignment horizontal="center" vertical="center"/>
    </xf>
    <xf numFmtId="177" fontId="18" fillId="8" borderId="58" xfId="0" applyNumberFormat="1" applyFont="1" applyFill="1" applyBorder="1" applyAlignment="1">
      <alignment horizontal="center" vertical="center"/>
    </xf>
    <xf numFmtId="179" fontId="18" fillId="8" borderId="63" xfId="0" applyNumberFormat="1" applyFont="1" applyFill="1" applyBorder="1" applyAlignment="1">
      <alignment horizontal="center" vertical="center"/>
    </xf>
    <xf numFmtId="0" fontId="18" fillId="8" borderId="51" xfId="0" applyFont="1" applyFill="1" applyBorder="1" applyAlignment="1">
      <alignment horizontal="center" vertical="center"/>
    </xf>
    <xf numFmtId="0" fontId="18" fillId="8" borderId="50" xfId="0" applyFont="1" applyFill="1" applyBorder="1" applyAlignment="1">
      <alignment horizontal="center" vertical="center"/>
    </xf>
    <xf numFmtId="180" fontId="18" fillId="8" borderId="58" xfId="0" applyNumberFormat="1" applyFont="1" applyFill="1" applyBorder="1" applyAlignment="1">
      <alignment horizontal="center" vertical="center"/>
    </xf>
    <xf numFmtId="180" fontId="18" fillId="8" borderId="51" xfId="0" applyNumberFormat="1" applyFont="1" applyFill="1" applyBorder="1" applyAlignment="1">
      <alignment horizontal="center" vertical="center"/>
    </xf>
    <xf numFmtId="180" fontId="18" fillId="8" borderId="50" xfId="0" applyNumberFormat="1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7" borderId="0" xfId="0" applyNumberFormat="1" applyFill="1" applyBorder="1" applyAlignment="1">
      <alignment horizontal="center" vertical="center"/>
    </xf>
    <xf numFmtId="178" fontId="0" fillId="7" borderId="3" xfId="0" applyNumberFormat="1" applyFill="1" applyBorder="1" applyAlignment="1">
      <alignment horizontal="center" vertical="center"/>
    </xf>
    <xf numFmtId="178" fontId="0" fillId="7" borderId="1" xfId="0" applyNumberFormat="1" applyFill="1" applyBorder="1" applyAlignment="1">
      <alignment horizontal="center" vertical="center"/>
    </xf>
    <xf numFmtId="178" fontId="0" fillId="7" borderId="7" xfId="0" applyNumberFormat="1" applyFill="1" applyBorder="1" applyAlignment="1">
      <alignment horizontal="center" vertical="center"/>
    </xf>
    <xf numFmtId="178" fontId="0" fillId="7" borderId="54" xfId="0" applyNumberFormat="1" applyFill="1" applyBorder="1" applyAlignment="1">
      <alignment horizontal="center" vertical="center"/>
    </xf>
    <xf numFmtId="178" fontId="0" fillId="7" borderId="5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9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178" fontId="0" fillId="7" borderId="30" xfId="0" applyNumberFormat="1" applyFill="1" applyBorder="1" applyAlignment="1">
      <alignment horizontal="center" vertical="center"/>
    </xf>
    <xf numFmtId="178" fontId="0" fillId="7" borderId="31" xfId="0" applyNumberForma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center" vertical="top" wrapText="1"/>
    </xf>
    <xf numFmtId="178" fontId="0" fillId="7" borderId="4" xfId="0" applyNumberForma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top" wrapText="1"/>
    </xf>
    <xf numFmtId="178" fontId="0" fillId="7" borderId="6" xfId="0" applyNumberFormat="1" applyFill="1" applyBorder="1" applyAlignment="1">
      <alignment horizontal="center" vertical="center"/>
    </xf>
    <xf numFmtId="176" fontId="6" fillId="7" borderId="69" xfId="0" applyNumberFormat="1" applyFont="1" applyFill="1" applyBorder="1" applyAlignment="1">
      <alignment horizontal="center" vertical="top" wrapText="1"/>
    </xf>
    <xf numFmtId="178" fontId="0" fillId="7" borderId="8" xfId="0" applyNumberFormat="1" applyFill="1" applyBorder="1" applyAlignment="1">
      <alignment horizontal="center" vertical="center"/>
    </xf>
    <xf numFmtId="176" fontId="6" fillId="7" borderId="70" xfId="0" applyNumberFormat="1" applyFont="1" applyFill="1" applyBorder="1" applyAlignment="1">
      <alignment horizontal="center" vertical="top" wrapText="1"/>
    </xf>
    <xf numFmtId="178" fontId="0" fillId="7" borderId="68" xfId="0" applyNumberFormat="1" applyFill="1" applyBorder="1" applyAlignment="1">
      <alignment horizontal="center" vertical="center"/>
    </xf>
    <xf numFmtId="176" fontId="6" fillId="7" borderId="49" xfId="0" applyNumberFormat="1" applyFont="1" applyFill="1" applyBorder="1" applyAlignment="1">
      <alignment horizontal="center" vertical="top" wrapText="1"/>
    </xf>
    <xf numFmtId="178" fontId="0" fillId="7" borderId="53" xfId="0" applyNumberFormat="1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178" fontId="0" fillId="7" borderId="56" xfId="0" applyNumberFormat="1" applyFill="1" applyBorder="1" applyAlignment="1">
      <alignment horizontal="center" vertical="center"/>
    </xf>
    <xf numFmtId="178" fontId="0" fillId="7" borderId="18" xfId="0" applyNumberFormat="1" applyFill="1" applyBorder="1" applyAlignment="1">
      <alignment horizontal="center" vertical="center"/>
    </xf>
    <xf numFmtId="178" fontId="0" fillId="7" borderId="50" xfId="0" applyNumberFormat="1" applyFill="1" applyBorder="1" applyAlignment="1">
      <alignment horizontal="center" vertical="center"/>
    </xf>
    <xf numFmtId="178" fontId="0" fillId="7" borderId="24" xfId="0" applyNumberFormat="1" applyFill="1" applyBorder="1" applyAlignment="1">
      <alignment horizontal="center" vertical="center"/>
    </xf>
    <xf numFmtId="180" fontId="22" fillId="7" borderId="35" xfId="0" applyNumberFormat="1" applyFont="1" applyFill="1" applyBorder="1" applyAlignment="1">
      <alignment horizontal="center" vertical="center"/>
    </xf>
    <xf numFmtId="180" fontId="22" fillId="7" borderId="3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180" fontId="4" fillId="0" borderId="38" xfId="0" applyNumberFormat="1" applyFont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6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80" fontId="4" fillId="7" borderId="35" xfId="0" applyNumberFormat="1" applyFont="1" applyFill="1" applyBorder="1" applyAlignment="1">
      <alignment horizontal="center" vertical="center"/>
    </xf>
    <xf numFmtId="180" fontId="4" fillId="7" borderId="38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80" fontId="4" fillId="0" borderId="28" xfId="0" applyNumberFormat="1" applyFont="1" applyBorder="1" applyAlignment="1">
      <alignment horizontal="center" vertical="center"/>
    </xf>
    <xf numFmtId="180" fontId="4" fillId="0" borderId="29" xfId="0" applyNumberFormat="1" applyFont="1" applyBorder="1" applyAlignment="1">
      <alignment horizontal="center" vertical="center"/>
    </xf>
    <xf numFmtId="180" fontId="4" fillId="0" borderId="73" xfId="0" applyNumberFormat="1" applyFont="1" applyBorder="1" applyAlignment="1">
      <alignment horizontal="center" vertical="center"/>
    </xf>
    <xf numFmtId="180" fontId="4" fillId="7" borderId="9" xfId="0" applyNumberFormat="1" applyFont="1" applyFill="1" applyBorder="1" applyAlignment="1">
      <alignment horizontal="center" vertical="center"/>
    </xf>
    <xf numFmtId="180" fontId="4" fillId="7" borderId="39" xfId="0" applyNumberFormat="1" applyFont="1" applyFill="1" applyBorder="1" applyAlignment="1">
      <alignment horizontal="center" vertical="center"/>
    </xf>
    <xf numFmtId="180" fontId="22" fillId="2" borderId="35" xfId="0" applyNumberFormat="1" applyFont="1" applyFill="1" applyBorder="1" applyAlignment="1">
      <alignment horizontal="center" vertical="center"/>
    </xf>
    <xf numFmtId="180" fontId="22" fillId="2" borderId="38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/>
    </xf>
    <xf numFmtId="180" fontId="4" fillId="0" borderId="41" xfId="0" applyNumberFormat="1" applyFont="1" applyBorder="1" applyAlignment="1">
      <alignment horizontal="center" vertical="center"/>
    </xf>
    <xf numFmtId="180" fontId="4" fillId="0" borderId="40" xfId="0" applyNumberFormat="1" applyFont="1" applyBorder="1" applyAlignment="1">
      <alignment horizontal="center" vertical="center"/>
    </xf>
    <xf numFmtId="180" fontId="4" fillId="7" borderId="10" xfId="0" applyNumberFormat="1" applyFont="1" applyFill="1" applyBorder="1" applyAlignment="1">
      <alignment horizontal="center" vertical="center"/>
    </xf>
    <xf numFmtId="180" fontId="4" fillId="7" borderId="40" xfId="0" applyNumberFormat="1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180" fontId="4" fillId="2" borderId="35" xfId="0" applyNumberFormat="1" applyFont="1" applyFill="1" applyBorder="1" applyAlignment="1">
      <alignment horizontal="center" vertical="center"/>
    </xf>
    <xf numFmtId="180" fontId="4" fillId="2" borderId="38" xfId="0" applyNumberFormat="1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7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7" borderId="70" xfId="0" applyFont="1" applyFill="1" applyBorder="1" applyAlignment="1">
      <alignment horizontal="center" vertical="center"/>
    </xf>
    <xf numFmtId="0" fontId="4" fillId="7" borderId="75" xfId="0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7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80" fontId="4" fillId="0" borderId="36" xfId="0" applyNumberFormat="1" applyFont="1" applyBorder="1" applyAlignment="1">
      <alignment horizontal="center" vertical="center"/>
    </xf>
    <xf numFmtId="180" fontId="4" fillId="0" borderId="37" xfId="0" applyNumberFormat="1" applyFont="1" applyBorder="1" applyAlignment="1">
      <alignment horizontal="center" vertical="center"/>
    </xf>
    <xf numFmtId="180" fontId="4" fillId="0" borderId="76" xfId="0" applyNumberFormat="1" applyFont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180" fontId="4" fillId="0" borderId="74" xfId="0" applyNumberFormat="1" applyFont="1" applyBorder="1" applyAlignment="1">
      <alignment horizontal="center" vertical="center"/>
    </xf>
    <xf numFmtId="180" fontId="4" fillId="0" borderId="75" xfId="0" applyNumberFormat="1" applyFont="1" applyBorder="1" applyAlignment="1">
      <alignment horizontal="center" vertical="center"/>
    </xf>
    <xf numFmtId="180" fontId="4" fillId="0" borderId="7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67" xfId="0" applyBorder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80" fontId="22" fillId="7" borderId="9" xfId="0" applyNumberFormat="1" applyFont="1" applyFill="1" applyBorder="1" applyAlignment="1">
      <alignment horizontal="center" vertical="center"/>
    </xf>
    <xf numFmtId="180" fontId="22" fillId="7" borderId="39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180" fontId="4" fillId="0" borderId="77" xfId="0" applyNumberFormat="1" applyFont="1" applyBorder="1" applyAlignment="1">
      <alignment horizontal="center" vertical="center"/>
    </xf>
    <xf numFmtId="180" fontId="4" fillId="0" borderId="39" xfId="0" applyNumberFormat="1" applyFont="1" applyBorder="1" applyAlignment="1">
      <alignment horizontal="center" vertical="center"/>
    </xf>
    <xf numFmtId="0" fontId="16" fillId="6" borderId="46" xfId="0" applyFont="1" applyFill="1" applyBorder="1" applyAlignment="1" applyProtection="1">
      <alignment horizontal="center" vertical="center"/>
      <protection locked="0"/>
    </xf>
    <xf numFmtId="0" fontId="16" fillId="6" borderId="14" xfId="0" applyFont="1" applyFill="1" applyBorder="1" applyAlignment="1" applyProtection="1">
      <alignment horizontal="center" vertical="center"/>
      <protection locked="0"/>
    </xf>
    <xf numFmtId="178" fontId="4" fillId="7" borderId="9" xfId="0" applyNumberFormat="1" applyFont="1" applyFill="1" applyBorder="1" applyAlignment="1">
      <alignment horizontal="center" vertical="center"/>
    </xf>
    <xf numFmtId="178" fontId="4" fillId="7" borderId="3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80" fontId="22" fillId="7" borderId="10" xfId="0" applyNumberFormat="1" applyFont="1" applyFill="1" applyBorder="1" applyAlignment="1">
      <alignment horizontal="center" vertical="center"/>
    </xf>
    <xf numFmtId="180" fontId="22" fillId="7" borderId="40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6" borderId="28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6" borderId="73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80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7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180" fontId="4" fillId="0" borderId="13" xfId="0" applyNumberFormat="1" applyFont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/>
    </xf>
    <xf numFmtId="180" fontId="4" fillId="0" borderId="8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20" fillId="8" borderId="53" xfId="0" applyFont="1" applyFill="1" applyBorder="1" applyAlignment="1">
      <alignment horizontal="center" vertical="center"/>
    </xf>
    <xf numFmtId="0" fontId="20" fillId="8" borderId="68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68" xfId="0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20" fillId="10" borderId="68" xfId="0" applyFont="1" applyFill="1" applyBorder="1" applyAlignment="1">
      <alignment horizontal="center" vertical="center"/>
    </xf>
    <xf numFmtId="0" fontId="20" fillId="11" borderId="53" xfId="0" applyFont="1" applyFill="1" applyBorder="1" applyAlignment="1">
      <alignment horizontal="center" vertical="center"/>
    </xf>
    <xf numFmtId="0" fontId="20" fillId="11" borderId="68" xfId="0" applyFont="1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78" fontId="0" fillId="5" borderId="30" xfId="0" applyNumberFormat="1" applyFill="1" applyBorder="1" applyAlignment="1">
      <alignment horizontal="center" vertical="center"/>
    </xf>
    <xf numFmtId="178" fontId="0" fillId="5" borderId="0" xfId="0" applyNumberFormat="1" applyFill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7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&#49892;&#52292;&#5121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서울대식"/>
      <sheetName val="서울대지원"/>
      <sheetName val="연고대식"/>
      <sheetName val="문과표준점수"/>
      <sheetName val="문과백분위"/>
      <sheetName val="이과표준점수"/>
      <sheetName val="이과백분위"/>
    </sheetNames>
    <sheetDataSet>
      <sheetData sheetId="0" refreshError="1"/>
      <sheetData sheetId="1" refreshError="1"/>
      <sheetData sheetId="2" refreshError="1"/>
      <sheetData sheetId="3">
        <row r="7">
          <cell r="E7" t="str">
            <v>강민성</v>
          </cell>
        </row>
      </sheetData>
      <sheetData sheetId="4">
        <row r="7">
          <cell r="E7" t="str">
            <v>강민성</v>
          </cell>
        </row>
      </sheetData>
      <sheetData sheetId="5">
        <row r="7">
          <cell r="E7" t="str">
            <v>강민구1</v>
          </cell>
        </row>
      </sheetData>
      <sheetData sheetId="6">
        <row r="7">
          <cell r="E7" t="str">
            <v>강민구1</v>
          </cell>
          <cell r="F7" t="e">
            <v>#NUM!</v>
          </cell>
          <cell r="G7">
            <v>409</v>
          </cell>
          <cell r="H7" t="e">
            <v>#NUM!</v>
          </cell>
          <cell r="I7">
            <v>134</v>
          </cell>
          <cell r="J7">
            <v>142</v>
          </cell>
          <cell r="K7">
            <v>133</v>
          </cell>
          <cell r="X7">
            <v>93</v>
          </cell>
          <cell r="Y7">
            <v>94</v>
          </cell>
          <cell r="Z7">
            <v>89</v>
          </cell>
          <cell r="AA7">
            <v>96</v>
          </cell>
          <cell r="AB7">
            <v>99</v>
          </cell>
          <cell r="AC7">
            <v>83</v>
          </cell>
          <cell r="AD7">
            <v>92</v>
          </cell>
          <cell r="AE7" t="str">
            <v>화1</v>
          </cell>
          <cell r="AF7" t="str">
            <v>생1</v>
          </cell>
          <cell r="AG7" t="str">
            <v>지1</v>
          </cell>
          <cell r="AH7" t="str">
            <v>생2</v>
          </cell>
          <cell r="AI7">
            <v>1</v>
          </cell>
          <cell r="AJ7">
            <v>1</v>
          </cell>
          <cell r="AK7">
            <v>3</v>
          </cell>
          <cell r="AL7">
            <v>2</v>
          </cell>
          <cell r="AM7">
            <v>2</v>
          </cell>
          <cell r="AN7">
            <v>5</v>
          </cell>
        </row>
        <row r="8">
          <cell r="E8" t="str">
            <v>강혜정</v>
          </cell>
          <cell r="F8" t="e">
            <v>#NUM!</v>
          </cell>
          <cell r="G8">
            <v>399</v>
          </cell>
          <cell r="H8" t="e">
            <v>#NUM!</v>
          </cell>
          <cell r="I8">
            <v>128</v>
          </cell>
          <cell r="J8">
            <v>135</v>
          </cell>
          <cell r="K8">
            <v>136</v>
          </cell>
          <cell r="X8">
            <v>81</v>
          </cell>
          <cell r="Y8">
            <v>86</v>
          </cell>
          <cell r="Z8">
            <v>97</v>
          </cell>
          <cell r="AA8">
            <v>87</v>
          </cell>
          <cell r="AB8">
            <v>73</v>
          </cell>
          <cell r="AC8">
            <v>83</v>
          </cell>
          <cell r="AD8">
            <v>64</v>
          </cell>
          <cell r="AE8" t="str">
            <v>화1</v>
          </cell>
          <cell r="AF8" t="str">
            <v>생1</v>
          </cell>
          <cell r="AG8" t="str">
            <v>지1</v>
          </cell>
          <cell r="AH8" t="str">
            <v>지2</v>
          </cell>
          <cell r="AI8">
            <v>2</v>
          </cell>
          <cell r="AJ8">
            <v>4</v>
          </cell>
          <cell r="AK8">
            <v>3</v>
          </cell>
          <cell r="AL8">
            <v>4</v>
          </cell>
          <cell r="AM8">
            <v>2</v>
          </cell>
          <cell r="AN8">
            <v>5</v>
          </cell>
        </row>
        <row r="9">
          <cell r="E9" t="str">
            <v>구예형</v>
          </cell>
          <cell r="F9" t="e">
            <v>#NUM!</v>
          </cell>
          <cell r="G9">
            <v>383</v>
          </cell>
          <cell r="H9" t="e">
            <v>#NUM!</v>
          </cell>
          <cell r="I9">
            <v>126</v>
          </cell>
          <cell r="J9">
            <v>130</v>
          </cell>
          <cell r="K9">
            <v>127</v>
          </cell>
          <cell r="X9">
            <v>96</v>
          </cell>
          <cell r="Y9">
            <v>75</v>
          </cell>
          <cell r="Z9">
            <v>95</v>
          </cell>
          <cell r="AA9">
            <v>63</v>
          </cell>
          <cell r="AB9">
            <v>87</v>
          </cell>
          <cell r="AC9">
            <v>92</v>
          </cell>
          <cell r="AD9">
            <v>78</v>
          </cell>
          <cell r="AE9" t="str">
            <v>물1</v>
          </cell>
          <cell r="AF9" t="str">
            <v>화1</v>
          </cell>
          <cell r="AG9" t="str">
            <v>생1</v>
          </cell>
          <cell r="AH9" t="str">
            <v>화2</v>
          </cell>
          <cell r="AI9">
            <v>4</v>
          </cell>
          <cell r="AJ9">
            <v>2</v>
          </cell>
          <cell r="AK9">
            <v>2</v>
          </cell>
          <cell r="AL9">
            <v>3</v>
          </cell>
          <cell r="AM9">
            <v>2</v>
          </cell>
          <cell r="AN9">
            <v>5</v>
          </cell>
        </row>
        <row r="10">
          <cell r="E10" t="str">
            <v>권세현</v>
          </cell>
          <cell r="F10" t="e">
            <v>#NUM!</v>
          </cell>
          <cell r="G10">
            <v>409</v>
          </cell>
          <cell r="H10" t="e">
            <v>#NUM!</v>
          </cell>
          <cell r="I10">
            <v>132</v>
          </cell>
          <cell r="J10">
            <v>139</v>
          </cell>
          <cell r="K10">
            <v>138</v>
          </cell>
          <cell r="X10">
            <v>61</v>
          </cell>
          <cell r="Y10">
            <v>94</v>
          </cell>
          <cell r="Z10">
            <v>82</v>
          </cell>
          <cell r="AA10">
            <v>98</v>
          </cell>
          <cell r="AB10">
            <v>15</v>
          </cell>
          <cell r="AC10">
            <v>88</v>
          </cell>
          <cell r="AD10">
            <v>85</v>
          </cell>
          <cell r="AE10" t="str">
            <v>화1</v>
          </cell>
          <cell r="AF10" t="str">
            <v>생1</v>
          </cell>
          <cell r="AG10" t="str">
            <v>지1</v>
          </cell>
          <cell r="AH10" t="str">
            <v>화2</v>
          </cell>
          <cell r="AI10">
            <v>1</v>
          </cell>
          <cell r="AJ10">
            <v>7</v>
          </cell>
          <cell r="AK10">
            <v>3</v>
          </cell>
          <cell r="AL10">
            <v>3</v>
          </cell>
          <cell r="AM10">
            <v>1</v>
          </cell>
          <cell r="AN10">
            <v>0</v>
          </cell>
        </row>
        <row r="11">
          <cell r="E11" t="str">
            <v>김동민</v>
          </cell>
          <cell r="F11" t="e">
            <v>#NUM!</v>
          </cell>
          <cell r="G11">
            <v>387</v>
          </cell>
          <cell r="H11" t="e">
            <v>#NUM!</v>
          </cell>
          <cell r="I11">
            <v>122</v>
          </cell>
          <cell r="J11">
            <v>130</v>
          </cell>
          <cell r="K11">
            <v>135</v>
          </cell>
          <cell r="X11">
            <v>99</v>
          </cell>
          <cell r="Y11">
            <v>91</v>
          </cell>
          <cell r="Z11">
            <v>96</v>
          </cell>
          <cell r="AA11">
            <v>88</v>
          </cell>
          <cell r="AB11">
            <v>85</v>
          </cell>
          <cell r="AC11">
            <v>95</v>
          </cell>
          <cell r="AD11">
            <v>30</v>
          </cell>
          <cell r="AE11" t="str">
            <v>물1</v>
          </cell>
          <cell r="AF11" t="str">
            <v>생1</v>
          </cell>
          <cell r="AG11" t="str">
            <v>물2</v>
          </cell>
          <cell r="AH11" t="str">
            <v>화2</v>
          </cell>
          <cell r="AI11">
            <v>2</v>
          </cell>
          <cell r="AJ11">
            <v>3</v>
          </cell>
          <cell r="AK11">
            <v>1</v>
          </cell>
          <cell r="AL11">
            <v>6</v>
          </cell>
          <cell r="AM11">
            <v>1</v>
          </cell>
          <cell r="AN11">
            <v>0</v>
          </cell>
        </row>
        <row r="12">
          <cell r="E12" t="str">
            <v>김범유</v>
          </cell>
          <cell r="F12" t="e">
            <v>#NUM!</v>
          </cell>
          <cell r="G12">
            <v>396</v>
          </cell>
          <cell r="H12" t="e">
            <v>#NUM!</v>
          </cell>
          <cell r="I12">
            <v>128</v>
          </cell>
          <cell r="J12">
            <v>139</v>
          </cell>
          <cell r="K12">
            <v>129</v>
          </cell>
          <cell r="X12">
            <v>54</v>
          </cell>
          <cell r="Y12">
            <v>86</v>
          </cell>
          <cell r="Z12">
            <v>98</v>
          </cell>
          <cell r="AA12">
            <v>85</v>
          </cell>
          <cell r="AB12">
            <v>73</v>
          </cell>
          <cell r="AC12">
            <v>90</v>
          </cell>
          <cell r="AD12">
            <v>95</v>
          </cell>
          <cell r="AE12" t="str">
            <v>물1</v>
          </cell>
          <cell r="AF12" t="str">
            <v>화1</v>
          </cell>
          <cell r="AG12" t="str">
            <v>생1</v>
          </cell>
          <cell r="AH12" t="str">
            <v>화2</v>
          </cell>
          <cell r="AI12">
            <v>3</v>
          </cell>
          <cell r="AJ12">
            <v>4</v>
          </cell>
          <cell r="AK12">
            <v>2</v>
          </cell>
          <cell r="AL12">
            <v>1</v>
          </cell>
          <cell r="AM12">
            <v>1</v>
          </cell>
          <cell r="AN12">
            <v>0</v>
          </cell>
        </row>
        <row r="13">
          <cell r="E13" t="str">
            <v>김양선</v>
          </cell>
          <cell r="F13" t="e">
            <v>#NUM!</v>
          </cell>
          <cell r="G13">
            <v>391</v>
          </cell>
          <cell r="H13" t="e">
            <v>#NUM!</v>
          </cell>
          <cell r="I13">
            <v>125</v>
          </cell>
          <cell r="J13">
            <v>139</v>
          </cell>
          <cell r="K13">
            <v>127</v>
          </cell>
          <cell r="X13">
            <v>97</v>
          </cell>
          <cell r="Y13">
            <v>97</v>
          </cell>
          <cell r="Z13">
            <v>99</v>
          </cell>
          <cell r="AA13">
            <v>79</v>
          </cell>
          <cell r="AB13">
            <v>93</v>
          </cell>
          <cell r="AC13">
            <v>96</v>
          </cell>
          <cell r="AD13">
            <v>95</v>
          </cell>
          <cell r="AE13" t="str">
            <v>물1</v>
          </cell>
          <cell r="AF13" t="str">
            <v>화1</v>
          </cell>
          <cell r="AG13" t="str">
            <v>생1</v>
          </cell>
          <cell r="AH13" t="str">
            <v>생2</v>
          </cell>
          <cell r="AI13">
            <v>3</v>
          </cell>
          <cell r="AJ13">
            <v>2</v>
          </cell>
          <cell r="AK13">
            <v>1</v>
          </cell>
          <cell r="AL13">
            <v>1</v>
          </cell>
          <cell r="AM13">
            <v>1</v>
          </cell>
          <cell r="AN13">
            <v>0</v>
          </cell>
        </row>
        <row r="14">
          <cell r="E14" t="str">
            <v>김종인</v>
          </cell>
          <cell r="F14" t="e">
            <v>#NUM!</v>
          </cell>
          <cell r="G14">
            <v>374</v>
          </cell>
          <cell r="H14" t="e">
            <v>#NUM!</v>
          </cell>
          <cell r="I14">
            <v>114</v>
          </cell>
          <cell r="J14">
            <v>135</v>
          </cell>
          <cell r="K14">
            <v>125</v>
          </cell>
          <cell r="X14">
            <v>92</v>
          </cell>
          <cell r="Y14">
            <v>81</v>
          </cell>
          <cell r="Z14">
            <v>97</v>
          </cell>
          <cell r="AA14">
            <v>85</v>
          </cell>
          <cell r="AB14">
            <v>73</v>
          </cell>
          <cell r="AC14">
            <v>68</v>
          </cell>
          <cell r="AD14">
            <v>30</v>
          </cell>
          <cell r="AE14" t="str">
            <v>물1</v>
          </cell>
          <cell r="AF14" t="str">
            <v>화1</v>
          </cell>
          <cell r="AG14" t="str">
            <v>생1</v>
          </cell>
          <cell r="AH14" t="str">
            <v>화2</v>
          </cell>
          <cell r="AI14">
            <v>3</v>
          </cell>
          <cell r="AJ14">
            <v>4</v>
          </cell>
          <cell r="AK14">
            <v>4</v>
          </cell>
          <cell r="AL14">
            <v>6</v>
          </cell>
          <cell r="AM14">
            <v>3</v>
          </cell>
          <cell r="AN14">
            <v>4</v>
          </cell>
        </row>
        <row r="15">
          <cell r="E15" t="str">
            <v>남진현</v>
          </cell>
          <cell r="F15" t="e">
            <v>#NUM!</v>
          </cell>
          <cell r="G15">
            <v>400</v>
          </cell>
          <cell r="H15" t="e">
            <v>#NUM!</v>
          </cell>
          <cell r="I15">
            <v>121</v>
          </cell>
          <cell r="J15">
            <v>142</v>
          </cell>
          <cell r="K15">
            <v>137</v>
          </cell>
          <cell r="X15">
            <v>81</v>
          </cell>
          <cell r="Y15">
            <v>97</v>
          </cell>
          <cell r="Z15">
            <v>85</v>
          </cell>
          <cell r="AA15">
            <v>97</v>
          </cell>
          <cell r="AB15">
            <v>93</v>
          </cell>
          <cell r="AC15">
            <v>90</v>
          </cell>
          <cell r="AD15">
            <v>92</v>
          </cell>
          <cell r="AE15" t="str">
            <v>물1</v>
          </cell>
          <cell r="AF15" t="str">
            <v>화1</v>
          </cell>
          <cell r="AG15" t="str">
            <v>생1</v>
          </cell>
          <cell r="AH15" t="str">
            <v>화2</v>
          </cell>
          <cell r="AI15">
            <v>1</v>
          </cell>
          <cell r="AJ15">
            <v>2</v>
          </cell>
          <cell r="AK15">
            <v>2</v>
          </cell>
          <cell r="AL15">
            <v>2</v>
          </cell>
          <cell r="AM15">
            <v>1</v>
          </cell>
          <cell r="AN15">
            <v>0</v>
          </cell>
        </row>
        <row r="16">
          <cell r="E16" t="str">
            <v>노태은</v>
          </cell>
          <cell r="F16" t="e">
            <v>#NUM!</v>
          </cell>
          <cell r="G16">
            <v>391</v>
          </cell>
          <cell r="H16" t="e">
            <v>#NUM!</v>
          </cell>
          <cell r="I16">
            <v>127</v>
          </cell>
          <cell r="J16">
            <v>139</v>
          </cell>
          <cell r="K16">
            <v>125</v>
          </cell>
          <cell r="X16">
            <v>100</v>
          </cell>
          <cell r="Y16">
            <v>96</v>
          </cell>
          <cell r="Z16">
            <v>92</v>
          </cell>
          <cell r="AA16">
            <v>77</v>
          </cell>
          <cell r="AB16">
            <v>81</v>
          </cell>
          <cell r="AC16">
            <v>100</v>
          </cell>
          <cell r="AD16">
            <v>55</v>
          </cell>
          <cell r="AE16" t="str">
            <v>물1</v>
          </cell>
          <cell r="AF16" t="str">
            <v>화1</v>
          </cell>
          <cell r="AG16" t="str">
            <v>생1</v>
          </cell>
          <cell r="AH16" t="str">
            <v>화2</v>
          </cell>
          <cell r="AI16">
            <v>3</v>
          </cell>
          <cell r="AJ16">
            <v>3</v>
          </cell>
          <cell r="AK16">
            <v>1</v>
          </cell>
          <cell r="AL16">
            <v>5</v>
          </cell>
          <cell r="AM16">
            <v>1</v>
          </cell>
          <cell r="AN16">
            <v>0</v>
          </cell>
        </row>
        <row r="17">
          <cell r="E17" t="str">
            <v>류건희</v>
          </cell>
          <cell r="F17" t="e">
            <v>#NUM!</v>
          </cell>
          <cell r="G17">
            <v>409</v>
          </cell>
          <cell r="H17" t="e">
            <v>#NUM!</v>
          </cell>
          <cell r="I17">
            <v>127</v>
          </cell>
          <cell r="J17">
            <v>142</v>
          </cell>
          <cell r="K17">
            <v>140</v>
          </cell>
          <cell r="X17">
            <v>85</v>
          </cell>
          <cell r="Y17">
            <v>79</v>
          </cell>
          <cell r="Z17">
            <v>87</v>
          </cell>
          <cell r="AA17">
            <v>93</v>
          </cell>
          <cell r="AB17">
            <v>87</v>
          </cell>
          <cell r="AC17">
            <v>92</v>
          </cell>
          <cell r="AD17">
            <v>30</v>
          </cell>
          <cell r="AE17" t="str">
            <v>물1</v>
          </cell>
          <cell r="AF17" t="str">
            <v>화1</v>
          </cell>
          <cell r="AG17" t="str">
            <v>생1</v>
          </cell>
          <cell r="AH17" t="str">
            <v>화2</v>
          </cell>
          <cell r="AI17">
            <v>2</v>
          </cell>
          <cell r="AJ17">
            <v>2</v>
          </cell>
          <cell r="AK17">
            <v>2</v>
          </cell>
          <cell r="AL17">
            <v>6</v>
          </cell>
          <cell r="AM17">
            <v>2</v>
          </cell>
          <cell r="AN17">
            <v>5</v>
          </cell>
        </row>
        <row r="18">
          <cell r="E18" t="str">
            <v>문광원</v>
          </cell>
          <cell r="F18" t="e">
            <v>#NUM!</v>
          </cell>
          <cell r="G18">
            <v>400</v>
          </cell>
          <cell r="H18" t="e">
            <v>#NUM!</v>
          </cell>
          <cell r="I18">
            <v>127</v>
          </cell>
          <cell r="J18">
            <v>139</v>
          </cell>
          <cell r="K18">
            <v>134</v>
          </cell>
          <cell r="X18">
            <v>91</v>
          </cell>
          <cell r="Y18">
            <v>97</v>
          </cell>
          <cell r="Z18">
            <v>97</v>
          </cell>
          <cell r="AA18">
            <v>97</v>
          </cell>
          <cell r="AB18">
            <v>83</v>
          </cell>
          <cell r="AC18">
            <v>81</v>
          </cell>
          <cell r="AD18">
            <v>83</v>
          </cell>
          <cell r="AE18" t="str">
            <v>물1</v>
          </cell>
          <cell r="AF18" t="str">
            <v>화1</v>
          </cell>
          <cell r="AG18" t="str">
            <v>생1</v>
          </cell>
          <cell r="AH18" t="str">
            <v>화2</v>
          </cell>
          <cell r="AI18">
            <v>1</v>
          </cell>
          <cell r="AJ18">
            <v>3</v>
          </cell>
          <cell r="AK18">
            <v>3</v>
          </cell>
          <cell r="AL18">
            <v>3</v>
          </cell>
          <cell r="AM18">
            <v>1</v>
          </cell>
          <cell r="AN18">
            <v>0</v>
          </cell>
        </row>
        <row r="19">
          <cell r="E19" t="str">
            <v>박미지</v>
          </cell>
          <cell r="F19" t="e">
            <v>#NUM!</v>
          </cell>
          <cell r="G19">
            <v>397</v>
          </cell>
          <cell r="H19" t="e">
            <v>#NUM!</v>
          </cell>
          <cell r="I19">
            <v>122</v>
          </cell>
          <cell r="J19">
            <v>142</v>
          </cell>
          <cell r="K19">
            <v>133</v>
          </cell>
          <cell r="X19">
            <v>70</v>
          </cell>
          <cell r="Y19">
            <v>68</v>
          </cell>
          <cell r="Z19">
            <v>82</v>
          </cell>
          <cell r="AA19">
            <v>88</v>
          </cell>
          <cell r="AB19">
            <v>99</v>
          </cell>
          <cell r="AC19">
            <v>12</v>
          </cell>
          <cell r="AD19">
            <v>89</v>
          </cell>
          <cell r="AE19" t="str">
            <v>물1</v>
          </cell>
          <cell r="AF19" t="str">
            <v>화1</v>
          </cell>
          <cell r="AG19" t="str">
            <v>생1</v>
          </cell>
          <cell r="AH19" t="str">
            <v>화2</v>
          </cell>
          <cell r="AI19">
            <v>2</v>
          </cell>
          <cell r="AJ19">
            <v>1</v>
          </cell>
          <cell r="AK19">
            <v>7</v>
          </cell>
          <cell r="AL19">
            <v>2</v>
          </cell>
          <cell r="AM19">
            <v>1</v>
          </cell>
          <cell r="AN19">
            <v>0</v>
          </cell>
        </row>
        <row r="20">
          <cell r="E20" t="str">
            <v>박수빈</v>
          </cell>
          <cell r="F20" t="e">
            <v>#NUM!</v>
          </cell>
          <cell r="G20">
            <v>380</v>
          </cell>
          <cell r="H20" t="e">
            <v>#NUM!</v>
          </cell>
          <cell r="I20">
            <v>125</v>
          </cell>
          <cell r="J20">
            <v>129</v>
          </cell>
          <cell r="K20">
            <v>126</v>
          </cell>
          <cell r="X20">
            <v>91</v>
          </cell>
          <cell r="Y20">
            <v>83</v>
          </cell>
          <cell r="Z20">
            <v>78</v>
          </cell>
          <cell r="AA20">
            <v>98</v>
          </cell>
          <cell r="AB20">
            <v>96</v>
          </cell>
          <cell r="AC20">
            <v>93</v>
          </cell>
          <cell r="AD20">
            <v>99</v>
          </cell>
          <cell r="AE20" t="str">
            <v>화1</v>
          </cell>
          <cell r="AF20" t="str">
            <v>생1</v>
          </cell>
          <cell r="AG20" t="str">
            <v>지1</v>
          </cell>
          <cell r="AH20" t="str">
            <v>생2</v>
          </cell>
          <cell r="AI20">
            <v>1</v>
          </cell>
          <cell r="AJ20">
            <v>1</v>
          </cell>
          <cell r="AK20">
            <v>2</v>
          </cell>
          <cell r="AL20">
            <v>1</v>
          </cell>
          <cell r="AM20">
            <v>1</v>
          </cell>
          <cell r="AN20">
            <v>0</v>
          </cell>
        </row>
        <row r="21">
          <cell r="E21" t="str">
            <v>박찬용</v>
          </cell>
          <cell r="F21" t="e">
            <v>#NUM!</v>
          </cell>
          <cell r="G21">
            <v>380</v>
          </cell>
          <cell r="H21" t="e">
            <v>#NUM!</v>
          </cell>
          <cell r="I21">
            <v>115</v>
          </cell>
          <cell r="J21">
            <v>135</v>
          </cell>
          <cell r="K21">
            <v>130</v>
          </cell>
          <cell r="X21">
            <v>89</v>
          </cell>
          <cell r="Y21">
            <v>95</v>
          </cell>
          <cell r="Z21">
            <v>99</v>
          </cell>
          <cell r="AA21">
            <v>21</v>
          </cell>
          <cell r="AB21">
            <v>87</v>
          </cell>
          <cell r="AC21">
            <v>96</v>
          </cell>
          <cell r="AD21">
            <v>18</v>
          </cell>
          <cell r="AE21" t="str">
            <v>물1</v>
          </cell>
          <cell r="AF21" t="str">
            <v>화1</v>
          </cell>
          <cell r="AG21" t="str">
            <v>생1</v>
          </cell>
          <cell r="AH21" t="str">
            <v>화2</v>
          </cell>
          <cell r="AI21">
            <v>6</v>
          </cell>
          <cell r="AJ21">
            <v>2</v>
          </cell>
          <cell r="AK21">
            <v>1</v>
          </cell>
          <cell r="AL21">
            <v>7</v>
          </cell>
          <cell r="AM21">
            <v>1</v>
          </cell>
          <cell r="AN21">
            <v>0</v>
          </cell>
        </row>
        <row r="22">
          <cell r="E22" t="str">
            <v>백선혁</v>
          </cell>
          <cell r="F22" t="e">
            <v>#NUM!</v>
          </cell>
          <cell r="G22">
            <v>398</v>
          </cell>
          <cell r="H22" t="e">
            <v>#NUM!</v>
          </cell>
          <cell r="I22">
            <v>126</v>
          </cell>
          <cell r="J22">
            <v>134</v>
          </cell>
          <cell r="K22">
            <v>138</v>
          </cell>
          <cell r="X22">
            <v>85</v>
          </cell>
          <cell r="Y22">
            <v>65</v>
          </cell>
          <cell r="Z22">
            <v>100</v>
          </cell>
          <cell r="AA22">
            <v>81</v>
          </cell>
          <cell r="AB22">
            <v>94</v>
          </cell>
          <cell r="AC22">
            <v>95</v>
          </cell>
          <cell r="AD22">
            <v>86</v>
          </cell>
          <cell r="AE22" t="str">
            <v>화1</v>
          </cell>
          <cell r="AF22" t="str">
            <v>생1</v>
          </cell>
          <cell r="AG22" t="str">
            <v>지1</v>
          </cell>
          <cell r="AH22" t="str">
            <v>생2</v>
          </cell>
          <cell r="AI22">
            <v>3</v>
          </cell>
          <cell r="AJ22">
            <v>2</v>
          </cell>
          <cell r="AK22">
            <v>2</v>
          </cell>
          <cell r="AL22">
            <v>3</v>
          </cell>
          <cell r="AM22">
            <v>2</v>
          </cell>
          <cell r="AN22">
            <v>5</v>
          </cell>
        </row>
        <row r="23">
          <cell r="E23" t="str">
            <v>서성엽</v>
          </cell>
          <cell r="F23" t="e">
            <v>#NUM!</v>
          </cell>
          <cell r="G23">
            <v>392</v>
          </cell>
          <cell r="H23" t="e">
            <v>#NUM!</v>
          </cell>
          <cell r="I23">
            <v>125</v>
          </cell>
          <cell r="J23">
            <v>135</v>
          </cell>
          <cell r="K23">
            <v>132</v>
          </cell>
          <cell r="X23">
            <v>38</v>
          </cell>
          <cell r="Y23">
            <v>76</v>
          </cell>
          <cell r="Z23">
            <v>98</v>
          </cell>
          <cell r="AA23">
            <v>50</v>
          </cell>
          <cell r="AB23">
            <v>87</v>
          </cell>
          <cell r="AC23">
            <v>95</v>
          </cell>
          <cell r="AD23">
            <v>0</v>
          </cell>
          <cell r="AE23" t="str">
            <v>물1</v>
          </cell>
          <cell r="AF23" t="str">
            <v>생1</v>
          </cell>
          <cell r="AG23" t="str">
            <v>생2</v>
          </cell>
          <cell r="AH23">
            <v>0</v>
          </cell>
          <cell r="AI23">
            <v>5</v>
          </cell>
          <cell r="AJ23">
            <v>3</v>
          </cell>
          <cell r="AK23">
            <v>1</v>
          </cell>
          <cell r="AL23">
            <v>0</v>
          </cell>
          <cell r="AM23">
            <v>0</v>
          </cell>
          <cell r="AN23">
            <v>0</v>
          </cell>
        </row>
        <row r="24">
          <cell r="E24" t="str">
            <v>성세환</v>
          </cell>
          <cell r="F24" t="e">
            <v>#NUM!</v>
          </cell>
          <cell r="G24">
            <v>396</v>
          </cell>
          <cell r="H24" t="e">
            <v>#NUM!</v>
          </cell>
          <cell r="I24">
            <v>121</v>
          </cell>
          <cell r="J24">
            <v>139</v>
          </cell>
          <cell r="K24">
            <v>136</v>
          </cell>
          <cell r="X24">
            <v>32</v>
          </cell>
          <cell r="Y24">
            <v>52</v>
          </cell>
          <cell r="Z24">
            <v>71</v>
          </cell>
          <cell r="AA24">
            <v>60</v>
          </cell>
          <cell r="AB24">
            <v>66</v>
          </cell>
          <cell r="AC24">
            <v>77</v>
          </cell>
          <cell r="AD24">
            <v>69</v>
          </cell>
          <cell r="AE24" t="str">
            <v>물1</v>
          </cell>
          <cell r="AF24" t="str">
            <v>화1</v>
          </cell>
          <cell r="AG24" t="str">
            <v>생1</v>
          </cell>
          <cell r="AH24" t="str">
            <v>생2</v>
          </cell>
          <cell r="AI24">
            <v>4</v>
          </cell>
          <cell r="AJ24">
            <v>4</v>
          </cell>
          <cell r="AK24">
            <v>3</v>
          </cell>
          <cell r="AL24">
            <v>4</v>
          </cell>
          <cell r="AM24">
            <v>3</v>
          </cell>
          <cell r="AN24">
            <v>4</v>
          </cell>
        </row>
        <row r="25">
          <cell r="E25" t="str">
            <v>송재인</v>
          </cell>
          <cell r="F25" t="e">
            <v>#NUM!</v>
          </cell>
          <cell r="G25">
            <v>379</v>
          </cell>
          <cell r="H25" t="e">
            <v>#NUM!</v>
          </cell>
          <cell r="I25">
            <v>115</v>
          </cell>
          <cell r="J25">
            <v>135</v>
          </cell>
          <cell r="K25">
            <v>129</v>
          </cell>
          <cell r="X25">
            <v>96</v>
          </cell>
          <cell r="Y25">
            <v>91</v>
          </cell>
          <cell r="Z25">
            <v>98</v>
          </cell>
          <cell r="AA25">
            <v>83</v>
          </cell>
          <cell r="AB25">
            <v>77</v>
          </cell>
          <cell r="AC25">
            <v>18</v>
          </cell>
          <cell r="AD25">
            <v>81</v>
          </cell>
          <cell r="AE25" t="str">
            <v>화1</v>
          </cell>
          <cell r="AF25" t="str">
            <v>생1</v>
          </cell>
          <cell r="AG25" t="str">
            <v>지1</v>
          </cell>
          <cell r="AH25" t="str">
            <v>화2</v>
          </cell>
          <cell r="AI25">
            <v>3</v>
          </cell>
          <cell r="AJ25">
            <v>3</v>
          </cell>
          <cell r="AK25">
            <v>7</v>
          </cell>
          <cell r="AL25">
            <v>3</v>
          </cell>
          <cell r="AM25">
            <v>3</v>
          </cell>
          <cell r="AN25">
            <v>4</v>
          </cell>
        </row>
        <row r="26">
          <cell r="E26" t="str">
            <v>심지원</v>
          </cell>
          <cell r="F26" t="e">
            <v>#NUM!</v>
          </cell>
          <cell r="G26">
            <v>394</v>
          </cell>
          <cell r="H26" t="e">
            <v>#NUM!</v>
          </cell>
          <cell r="I26">
            <v>125</v>
          </cell>
          <cell r="J26">
            <v>135</v>
          </cell>
          <cell r="K26">
            <v>134</v>
          </cell>
          <cell r="X26">
            <v>97</v>
          </cell>
          <cell r="Y26">
            <v>94</v>
          </cell>
          <cell r="Z26">
            <v>99</v>
          </cell>
          <cell r="AA26">
            <v>96</v>
          </cell>
          <cell r="AB26">
            <v>99</v>
          </cell>
          <cell r="AC26">
            <v>98</v>
          </cell>
          <cell r="AD26">
            <v>97</v>
          </cell>
          <cell r="AE26" t="str">
            <v>물1</v>
          </cell>
          <cell r="AF26" t="str">
            <v>화1</v>
          </cell>
          <cell r="AG26" t="str">
            <v>생1</v>
          </cell>
          <cell r="AH26" t="str">
            <v>화2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0</v>
          </cell>
        </row>
        <row r="27">
          <cell r="E27" t="str">
            <v>오수정</v>
          </cell>
          <cell r="F27" t="e">
            <v>#NUM!</v>
          </cell>
          <cell r="G27">
            <v>393</v>
          </cell>
          <cell r="H27" t="e">
            <v>#NUM!</v>
          </cell>
          <cell r="I27">
            <v>128</v>
          </cell>
          <cell r="J27">
            <v>139</v>
          </cell>
          <cell r="K27">
            <v>126</v>
          </cell>
          <cell r="X27">
            <v>100</v>
          </cell>
          <cell r="Y27">
            <v>99</v>
          </cell>
          <cell r="Z27">
            <v>99</v>
          </cell>
          <cell r="AA27">
            <v>99</v>
          </cell>
          <cell r="AB27">
            <v>98</v>
          </cell>
          <cell r="AC27">
            <v>99</v>
          </cell>
          <cell r="AD27">
            <v>26</v>
          </cell>
          <cell r="AE27" t="str">
            <v>물1</v>
          </cell>
          <cell r="AF27" t="str">
            <v>화1</v>
          </cell>
          <cell r="AG27" t="str">
            <v>생1</v>
          </cell>
          <cell r="AH27" t="str">
            <v>화2</v>
          </cell>
          <cell r="AI27">
            <v>1</v>
          </cell>
          <cell r="AJ27">
            <v>1</v>
          </cell>
          <cell r="AK27">
            <v>1</v>
          </cell>
          <cell r="AL27">
            <v>6</v>
          </cell>
          <cell r="AM27">
            <v>1</v>
          </cell>
          <cell r="AN27">
            <v>0</v>
          </cell>
        </row>
        <row r="28">
          <cell r="E28" t="str">
            <v>오영준</v>
          </cell>
          <cell r="F28" t="e">
            <v>#NUM!</v>
          </cell>
          <cell r="G28">
            <v>401</v>
          </cell>
          <cell r="H28" t="e">
            <v>#NUM!</v>
          </cell>
          <cell r="I28">
            <v>129</v>
          </cell>
          <cell r="J28">
            <v>139</v>
          </cell>
          <cell r="K28">
            <v>133</v>
          </cell>
          <cell r="X28">
            <v>75</v>
          </cell>
          <cell r="Y28">
            <v>86</v>
          </cell>
          <cell r="Z28">
            <v>95</v>
          </cell>
          <cell r="AA28">
            <v>68</v>
          </cell>
          <cell r="AB28">
            <v>69</v>
          </cell>
          <cell r="AC28">
            <v>85</v>
          </cell>
          <cell r="AD28">
            <v>42</v>
          </cell>
          <cell r="AE28" t="str">
            <v>물1</v>
          </cell>
          <cell r="AF28" t="str">
            <v>화1</v>
          </cell>
          <cell r="AG28" t="str">
            <v>생1</v>
          </cell>
          <cell r="AH28" t="str">
            <v>화2</v>
          </cell>
          <cell r="AI28">
            <v>4</v>
          </cell>
          <cell r="AJ28">
            <v>4</v>
          </cell>
          <cell r="AK28">
            <v>3</v>
          </cell>
          <cell r="AL28">
            <v>5</v>
          </cell>
          <cell r="AM28">
            <v>3</v>
          </cell>
          <cell r="AN28">
            <v>4</v>
          </cell>
        </row>
        <row r="29">
          <cell r="E29" t="str">
            <v>윤현준</v>
          </cell>
          <cell r="F29" t="e">
            <v>#NUM!</v>
          </cell>
          <cell r="G29">
            <v>405</v>
          </cell>
          <cell r="H29" t="e">
            <v>#NUM!</v>
          </cell>
          <cell r="I29">
            <v>132</v>
          </cell>
          <cell r="J29">
            <v>139</v>
          </cell>
          <cell r="K29">
            <v>134</v>
          </cell>
          <cell r="X29">
            <v>97</v>
          </cell>
          <cell r="Y29">
            <v>96</v>
          </cell>
          <cell r="Z29">
            <v>94</v>
          </cell>
          <cell r="AA29">
            <v>88</v>
          </cell>
          <cell r="AB29">
            <v>83</v>
          </cell>
          <cell r="AC29">
            <v>83</v>
          </cell>
          <cell r="AD29">
            <v>98</v>
          </cell>
          <cell r="AE29" t="str">
            <v>물1</v>
          </cell>
          <cell r="AF29" t="str">
            <v>화1</v>
          </cell>
          <cell r="AG29" t="str">
            <v>생1</v>
          </cell>
          <cell r="AH29" t="str">
            <v>화2</v>
          </cell>
          <cell r="AI29">
            <v>2</v>
          </cell>
          <cell r="AJ29">
            <v>3</v>
          </cell>
          <cell r="AK29">
            <v>3</v>
          </cell>
          <cell r="AL29">
            <v>1</v>
          </cell>
          <cell r="AM29">
            <v>1</v>
          </cell>
          <cell r="AN29">
            <v>0</v>
          </cell>
        </row>
        <row r="30">
          <cell r="E30" t="str">
            <v>이동근</v>
          </cell>
          <cell r="F30" t="e">
            <v>#NUM!</v>
          </cell>
          <cell r="G30">
            <v>402</v>
          </cell>
          <cell r="H30" t="e">
            <v>#NUM!</v>
          </cell>
          <cell r="I30">
            <v>130</v>
          </cell>
          <cell r="J30">
            <v>139</v>
          </cell>
          <cell r="K30">
            <v>133</v>
          </cell>
          <cell r="X30">
            <v>77</v>
          </cell>
          <cell r="Y30">
            <v>99</v>
          </cell>
          <cell r="Z30">
            <v>92</v>
          </cell>
          <cell r="AA30">
            <v>98</v>
          </cell>
          <cell r="AB30">
            <v>99</v>
          </cell>
          <cell r="AC30">
            <v>83</v>
          </cell>
          <cell r="AD30">
            <v>76</v>
          </cell>
          <cell r="AE30" t="str">
            <v>물1</v>
          </cell>
          <cell r="AF30" t="str">
            <v>화1</v>
          </cell>
          <cell r="AG30" t="str">
            <v>생1</v>
          </cell>
          <cell r="AH30" t="str">
            <v>화2</v>
          </cell>
          <cell r="AI30">
            <v>1</v>
          </cell>
          <cell r="AJ30">
            <v>1</v>
          </cell>
          <cell r="AK30">
            <v>3</v>
          </cell>
          <cell r="AL30">
            <v>4</v>
          </cell>
          <cell r="AM30">
            <v>1</v>
          </cell>
          <cell r="AN30">
            <v>0</v>
          </cell>
        </row>
        <row r="31">
          <cell r="E31" t="str">
            <v>이동헌</v>
          </cell>
          <cell r="F31" t="e">
            <v>#NUM!</v>
          </cell>
          <cell r="G31">
            <v>395</v>
          </cell>
          <cell r="H31" t="e">
            <v>#NUM!</v>
          </cell>
          <cell r="I31">
            <v>130</v>
          </cell>
          <cell r="J31">
            <v>133</v>
          </cell>
          <cell r="K31">
            <v>132</v>
          </cell>
          <cell r="X31">
            <v>97</v>
          </cell>
          <cell r="Y31">
            <v>96</v>
          </cell>
          <cell r="Z31">
            <v>98</v>
          </cell>
          <cell r="AA31">
            <v>41</v>
          </cell>
          <cell r="AB31">
            <v>83</v>
          </cell>
          <cell r="AC31">
            <v>100</v>
          </cell>
          <cell r="AD31">
            <v>92</v>
          </cell>
          <cell r="AE31" t="str">
            <v>물1</v>
          </cell>
          <cell r="AF31" t="str">
            <v>화1</v>
          </cell>
          <cell r="AG31" t="str">
            <v>생1</v>
          </cell>
          <cell r="AH31" t="str">
            <v>화2</v>
          </cell>
          <cell r="AI31">
            <v>5</v>
          </cell>
          <cell r="AJ31">
            <v>3</v>
          </cell>
          <cell r="AK31">
            <v>1</v>
          </cell>
          <cell r="AL31">
            <v>2</v>
          </cell>
          <cell r="AM31">
            <v>1</v>
          </cell>
          <cell r="AN31">
            <v>0</v>
          </cell>
        </row>
        <row r="32">
          <cell r="E32" t="str">
            <v>이수종</v>
          </cell>
          <cell r="F32" t="e">
            <v>#NUM!</v>
          </cell>
          <cell r="G32">
            <v>391</v>
          </cell>
          <cell r="H32" t="e">
            <v>#NUM!</v>
          </cell>
          <cell r="I32">
            <v>128</v>
          </cell>
          <cell r="J32">
            <v>132</v>
          </cell>
          <cell r="K32">
            <v>131</v>
          </cell>
          <cell r="X32">
            <v>61</v>
          </cell>
          <cell r="Y32">
            <v>71</v>
          </cell>
          <cell r="Z32">
            <v>88</v>
          </cell>
          <cell r="AA32">
            <v>91</v>
          </cell>
          <cell r="AB32">
            <v>87</v>
          </cell>
          <cell r="AC32">
            <v>85</v>
          </cell>
          <cell r="AD32">
            <v>70</v>
          </cell>
          <cell r="AE32" t="str">
            <v>화1</v>
          </cell>
          <cell r="AF32" t="str">
            <v>생1</v>
          </cell>
          <cell r="AG32" t="str">
            <v>지1</v>
          </cell>
          <cell r="AH32" t="str">
            <v>화2</v>
          </cell>
          <cell r="AI32">
            <v>2</v>
          </cell>
          <cell r="AJ32">
            <v>3</v>
          </cell>
          <cell r="AK32">
            <v>3</v>
          </cell>
          <cell r="AL32">
            <v>4</v>
          </cell>
          <cell r="AM32">
            <v>2</v>
          </cell>
          <cell r="AN32">
            <v>5</v>
          </cell>
        </row>
        <row r="33">
          <cell r="E33" t="str">
            <v>이승재</v>
          </cell>
          <cell r="F33" t="e">
            <v>#NUM!</v>
          </cell>
          <cell r="G33">
            <v>390</v>
          </cell>
          <cell r="H33" t="e">
            <v>#NUM!</v>
          </cell>
          <cell r="I33">
            <v>130</v>
          </cell>
          <cell r="J33">
            <v>135</v>
          </cell>
          <cell r="K33">
            <v>125</v>
          </cell>
          <cell r="X33">
            <v>89</v>
          </cell>
          <cell r="Y33">
            <v>86</v>
          </cell>
          <cell r="Z33">
            <v>92</v>
          </cell>
          <cell r="AA33">
            <v>73</v>
          </cell>
          <cell r="AB33">
            <v>83</v>
          </cell>
          <cell r="AC33">
            <v>22</v>
          </cell>
          <cell r="AD33">
            <v>92</v>
          </cell>
          <cell r="AE33" t="str">
            <v>화1</v>
          </cell>
          <cell r="AF33" t="str">
            <v>생1</v>
          </cell>
          <cell r="AG33" t="str">
            <v>지1</v>
          </cell>
          <cell r="AH33" t="str">
            <v>생2</v>
          </cell>
          <cell r="AI33">
            <v>4</v>
          </cell>
          <cell r="AJ33">
            <v>3</v>
          </cell>
          <cell r="AK33">
            <v>6</v>
          </cell>
          <cell r="AL33">
            <v>2</v>
          </cell>
          <cell r="AM33">
            <v>2</v>
          </cell>
          <cell r="AN33">
            <v>5</v>
          </cell>
        </row>
        <row r="34">
          <cell r="E34" t="str">
            <v>이준규</v>
          </cell>
          <cell r="F34" t="e">
            <v>#NUM!</v>
          </cell>
          <cell r="G34">
            <v>395</v>
          </cell>
          <cell r="H34" t="e">
            <v>#NUM!</v>
          </cell>
          <cell r="I34">
            <v>128</v>
          </cell>
          <cell r="J34">
            <v>136</v>
          </cell>
          <cell r="K34">
            <v>131</v>
          </cell>
          <cell r="X34">
            <v>97</v>
          </cell>
          <cell r="Y34">
            <v>84</v>
          </cell>
          <cell r="Z34">
            <v>90</v>
          </cell>
          <cell r="AA34">
            <v>93</v>
          </cell>
          <cell r="AB34">
            <v>83</v>
          </cell>
          <cell r="AC34">
            <v>90</v>
          </cell>
          <cell r="AD34">
            <v>78</v>
          </cell>
          <cell r="AE34" t="str">
            <v>물1</v>
          </cell>
          <cell r="AF34" t="str">
            <v>화1</v>
          </cell>
          <cell r="AG34" t="str">
            <v>생1</v>
          </cell>
          <cell r="AH34" t="str">
            <v>화2</v>
          </cell>
          <cell r="AI34">
            <v>2</v>
          </cell>
          <cell r="AJ34">
            <v>3</v>
          </cell>
          <cell r="AK34">
            <v>2</v>
          </cell>
          <cell r="AL34">
            <v>3</v>
          </cell>
          <cell r="AM34">
            <v>2</v>
          </cell>
          <cell r="AN34">
            <v>5</v>
          </cell>
        </row>
        <row r="35">
          <cell r="E35" t="str">
            <v>이지학</v>
          </cell>
          <cell r="F35" t="e">
            <v>#NUM!</v>
          </cell>
          <cell r="G35">
            <v>380</v>
          </cell>
          <cell r="H35" t="e">
            <v>#NUM!</v>
          </cell>
          <cell r="I35">
            <v>127</v>
          </cell>
          <cell r="J35">
            <v>124</v>
          </cell>
          <cell r="K35">
            <v>129</v>
          </cell>
          <cell r="X35">
            <v>83</v>
          </cell>
          <cell r="Y35">
            <v>91</v>
          </cell>
          <cell r="Z35">
            <v>99</v>
          </cell>
          <cell r="AA35">
            <v>77</v>
          </cell>
          <cell r="AB35">
            <v>99</v>
          </cell>
          <cell r="AC35">
            <v>85</v>
          </cell>
          <cell r="AD35">
            <v>99</v>
          </cell>
          <cell r="AE35" t="str">
            <v>물1</v>
          </cell>
          <cell r="AF35" t="str">
            <v>화1</v>
          </cell>
          <cell r="AG35" t="str">
            <v>생1</v>
          </cell>
          <cell r="AH35" t="str">
            <v>생2</v>
          </cell>
          <cell r="AI35">
            <v>3</v>
          </cell>
          <cell r="AJ35">
            <v>1</v>
          </cell>
          <cell r="AK35">
            <v>3</v>
          </cell>
          <cell r="AL35">
            <v>1</v>
          </cell>
          <cell r="AM35">
            <v>1</v>
          </cell>
          <cell r="AN35">
            <v>0</v>
          </cell>
        </row>
        <row r="36">
          <cell r="E36" t="str">
            <v>이지현</v>
          </cell>
          <cell r="F36" t="e">
            <v>#NUM!</v>
          </cell>
          <cell r="G36">
            <v>403</v>
          </cell>
          <cell r="H36" t="e">
            <v>#NUM!</v>
          </cell>
          <cell r="I36">
            <v>129</v>
          </cell>
          <cell r="J36">
            <v>139</v>
          </cell>
          <cell r="K36">
            <v>135</v>
          </cell>
          <cell r="X36">
            <v>89</v>
          </cell>
          <cell r="Y36">
            <v>79</v>
          </cell>
          <cell r="Z36">
            <v>90</v>
          </cell>
          <cell r="AA36">
            <v>87</v>
          </cell>
          <cell r="AB36">
            <v>71</v>
          </cell>
          <cell r="AC36">
            <v>60</v>
          </cell>
          <cell r="AD36">
            <v>7</v>
          </cell>
          <cell r="AE36" t="str">
            <v>화1</v>
          </cell>
          <cell r="AF36" t="str">
            <v>생1</v>
          </cell>
          <cell r="AG36" t="str">
            <v>지1</v>
          </cell>
          <cell r="AH36" t="str">
            <v>지2</v>
          </cell>
          <cell r="AI36">
            <v>2</v>
          </cell>
          <cell r="AJ36">
            <v>4</v>
          </cell>
          <cell r="AK36">
            <v>4</v>
          </cell>
          <cell r="AL36">
            <v>8</v>
          </cell>
          <cell r="AM36">
            <v>2</v>
          </cell>
          <cell r="AN36">
            <v>5</v>
          </cell>
        </row>
        <row r="37">
          <cell r="E37" t="str">
            <v>이희민</v>
          </cell>
          <cell r="F37" t="e">
            <v>#NUM!</v>
          </cell>
          <cell r="G37">
            <v>383</v>
          </cell>
          <cell r="H37" t="e">
            <v>#NUM!</v>
          </cell>
          <cell r="I37">
            <v>117</v>
          </cell>
          <cell r="J37">
            <v>135</v>
          </cell>
          <cell r="K37">
            <v>131</v>
          </cell>
          <cell r="X37">
            <v>93</v>
          </cell>
          <cell r="Y37">
            <v>86</v>
          </cell>
          <cell r="Z37">
            <v>96</v>
          </cell>
          <cell r="AA37">
            <v>73</v>
          </cell>
          <cell r="AB37">
            <v>96</v>
          </cell>
          <cell r="AC37">
            <v>98</v>
          </cell>
          <cell r="AD37">
            <v>70</v>
          </cell>
          <cell r="AE37" t="str">
            <v>물1</v>
          </cell>
          <cell r="AF37" t="str">
            <v>화1</v>
          </cell>
          <cell r="AG37" t="str">
            <v>생1</v>
          </cell>
          <cell r="AH37" t="str">
            <v>화2</v>
          </cell>
          <cell r="AI37">
            <v>4</v>
          </cell>
          <cell r="AJ37">
            <v>1</v>
          </cell>
          <cell r="AK37">
            <v>1</v>
          </cell>
          <cell r="AL37">
            <v>4</v>
          </cell>
          <cell r="AM37">
            <v>1</v>
          </cell>
          <cell r="AN37">
            <v>0</v>
          </cell>
        </row>
        <row r="38">
          <cell r="E38" t="str">
            <v>임연주</v>
          </cell>
          <cell r="F38" t="e">
            <v>#NUM!</v>
          </cell>
          <cell r="G38">
            <v>398</v>
          </cell>
          <cell r="H38" t="e">
            <v>#NUM!</v>
          </cell>
          <cell r="I38">
            <v>132</v>
          </cell>
          <cell r="J38">
            <v>135</v>
          </cell>
          <cell r="K38">
            <v>131</v>
          </cell>
          <cell r="X38">
            <v>97</v>
          </cell>
          <cell r="Y38">
            <v>86</v>
          </cell>
          <cell r="Z38">
            <v>89</v>
          </cell>
          <cell r="AA38">
            <v>15</v>
          </cell>
          <cell r="AB38">
            <v>98</v>
          </cell>
          <cell r="AC38">
            <v>99</v>
          </cell>
          <cell r="AD38">
            <v>97</v>
          </cell>
          <cell r="AE38" t="str">
            <v>화1</v>
          </cell>
          <cell r="AF38" t="str">
            <v>생1</v>
          </cell>
          <cell r="AG38" t="str">
            <v>지1</v>
          </cell>
          <cell r="AH38" t="str">
            <v>생2</v>
          </cell>
          <cell r="AI38">
            <v>7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0</v>
          </cell>
        </row>
        <row r="39">
          <cell r="E39" t="str">
            <v>정운교</v>
          </cell>
          <cell r="F39" t="e">
            <v>#NUM!</v>
          </cell>
          <cell r="G39">
            <v>409</v>
          </cell>
          <cell r="H39" t="e">
            <v>#NUM!</v>
          </cell>
          <cell r="I39">
            <v>132</v>
          </cell>
          <cell r="J39">
            <v>142</v>
          </cell>
          <cell r="K39">
            <v>135</v>
          </cell>
          <cell r="X39">
            <v>77</v>
          </cell>
          <cell r="Y39">
            <v>97</v>
          </cell>
          <cell r="Z39">
            <v>98</v>
          </cell>
          <cell r="AA39">
            <v>99</v>
          </cell>
          <cell r="AB39">
            <v>98</v>
          </cell>
          <cell r="AC39">
            <v>98</v>
          </cell>
          <cell r="AD39">
            <v>90</v>
          </cell>
          <cell r="AE39" t="str">
            <v>물1</v>
          </cell>
          <cell r="AF39" t="str">
            <v>생1</v>
          </cell>
          <cell r="AG39" t="str">
            <v>지1</v>
          </cell>
          <cell r="AH39" t="str">
            <v>물2</v>
          </cell>
          <cell r="AI39">
            <v>1</v>
          </cell>
          <cell r="AJ39">
            <v>1</v>
          </cell>
          <cell r="AK39">
            <v>1</v>
          </cell>
          <cell r="AL39">
            <v>2</v>
          </cell>
          <cell r="AM39">
            <v>1</v>
          </cell>
          <cell r="AN39">
            <v>0</v>
          </cell>
        </row>
        <row r="40">
          <cell r="E40" t="str">
            <v>정운영</v>
          </cell>
          <cell r="F40" t="e">
            <v>#NUM!</v>
          </cell>
          <cell r="G40">
            <v>390</v>
          </cell>
          <cell r="H40" t="e">
            <v>#NUM!</v>
          </cell>
          <cell r="I40">
            <v>115</v>
          </cell>
          <cell r="J40">
            <v>142</v>
          </cell>
          <cell r="K40">
            <v>133</v>
          </cell>
          <cell r="X40">
            <v>87</v>
          </cell>
          <cell r="Y40">
            <v>98</v>
          </cell>
          <cell r="Z40">
            <v>92</v>
          </cell>
          <cell r="AA40">
            <v>97</v>
          </cell>
          <cell r="AB40">
            <v>99</v>
          </cell>
          <cell r="AC40">
            <v>73</v>
          </cell>
          <cell r="AD40">
            <v>87</v>
          </cell>
          <cell r="AE40" t="str">
            <v>물1</v>
          </cell>
          <cell r="AF40" t="str">
            <v>화1</v>
          </cell>
          <cell r="AG40" t="str">
            <v>생1</v>
          </cell>
          <cell r="AH40" t="str">
            <v>화2</v>
          </cell>
          <cell r="AI40">
            <v>1</v>
          </cell>
          <cell r="AJ40">
            <v>1</v>
          </cell>
          <cell r="AK40">
            <v>4</v>
          </cell>
          <cell r="AL40">
            <v>3</v>
          </cell>
          <cell r="AM40">
            <v>1</v>
          </cell>
          <cell r="AN40">
            <v>0</v>
          </cell>
        </row>
        <row r="41">
          <cell r="E41" t="str">
            <v>정정엽</v>
          </cell>
          <cell r="F41" t="e">
            <v>#NUM!</v>
          </cell>
          <cell r="G41">
            <v>395</v>
          </cell>
          <cell r="H41" t="e">
            <v>#NUM!</v>
          </cell>
          <cell r="I41">
            <v>126</v>
          </cell>
          <cell r="J41">
            <v>133</v>
          </cell>
          <cell r="K41">
            <v>136</v>
          </cell>
          <cell r="X41">
            <v>91</v>
          </cell>
          <cell r="Y41">
            <v>95</v>
          </cell>
          <cell r="Z41">
            <v>85</v>
          </cell>
          <cell r="AA41">
            <v>88</v>
          </cell>
          <cell r="AB41">
            <v>69</v>
          </cell>
          <cell r="AC41">
            <v>94</v>
          </cell>
          <cell r="AD41">
            <v>95</v>
          </cell>
          <cell r="AE41" t="str">
            <v>물1</v>
          </cell>
          <cell r="AF41" t="str">
            <v>화1</v>
          </cell>
          <cell r="AG41" t="str">
            <v>생1</v>
          </cell>
          <cell r="AH41" t="str">
            <v>물2</v>
          </cell>
          <cell r="AI41">
            <v>2</v>
          </cell>
          <cell r="AJ41">
            <v>4</v>
          </cell>
          <cell r="AK41">
            <v>2</v>
          </cell>
          <cell r="AL41">
            <v>1</v>
          </cell>
          <cell r="AM41">
            <v>1</v>
          </cell>
          <cell r="AN41">
            <v>0</v>
          </cell>
        </row>
        <row r="42">
          <cell r="E42" t="str">
            <v>조형준</v>
          </cell>
          <cell r="F42" t="e">
            <v>#NUM!</v>
          </cell>
          <cell r="G42">
            <v>397</v>
          </cell>
          <cell r="H42" t="e">
            <v>#NUM!</v>
          </cell>
          <cell r="I42">
            <v>127</v>
          </cell>
          <cell r="J42">
            <v>132</v>
          </cell>
          <cell r="K42">
            <v>138</v>
          </cell>
          <cell r="X42">
            <v>100</v>
          </cell>
          <cell r="Y42">
            <v>97</v>
          </cell>
          <cell r="Z42">
            <v>100</v>
          </cell>
          <cell r="AA42">
            <v>99</v>
          </cell>
          <cell r="AB42">
            <v>96</v>
          </cell>
          <cell r="AC42">
            <v>100</v>
          </cell>
          <cell r="AD42">
            <v>92</v>
          </cell>
          <cell r="AE42" t="str">
            <v>물1</v>
          </cell>
          <cell r="AF42" t="str">
            <v>화1</v>
          </cell>
          <cell r="AG42" t="str">
            <v>생1</v>
          </cell>
          <cell r="AH42" t="str">
            <v>화2</v>
          </cell>
          <cell r="AI42">
            <v>1</v>
          </cell>
          <cell r="AJ42">
            <v>1</v>
          </cell>
          <cell r="AK42">
            <v>1</v>
          </cell>
          <cell r="AL42">
            <v>2</v>
          </cell>
          <cell r="AM42">
            <v>1</v>
          </cell>
          <cell r="AN42">
            <v>0</v>
          </cell>
        </row>
        <row r="43">
          <cell r="E43" t="str">
            <v>진선호</v>
          </cell>
          <cell r="F43" t="e">
            <v>#NUM!</v>
          </cell>
          <cell r="G43">
            <v>402</v>
          </cell>
          <cell r="H43" t="e">
            <v>#NUM!</v>
          </cell>
          <cell r="I43">
            <v>126</v>
          </cell>
          <cell r="J43">
            <v>142</v>
          </cell>
          <cell r="K43">
            <v>134</v>
          </cell>
          <cell r="X43">
            <v>93</v>
          </cell>
          <cell r="Y43">
            <v>96</v>
          </cell>
          <cell r="Z43">
            <v>96</v>
          </cell>
          <cell r="AA43">
            <v>97</v>
          </cell>
          <cell r="AB43">
            <v>96</v>
          </cell>
          <cell r="AC43">
            <v>96</v>
          </cell>
          <cell r="AD43">
            <v>99</v>
          </cell>
          <cell r="AE43" t="str">
            <v>물1</v>
          </cell>
          <cell r="AF43" t="str">
            <v>화1</v>
          </cell>
          <cell r="AG43" t="str">
            <v>지1</v>
          </cell>
          <cell r="AH43" t="str">
            <v>화2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</v>
          </cell>
        </row>
        <row r="44">
          <cell r="E44" t="str">
            <v>진수지</v>
          </cell>
          <cell r="F44" t="e">
            <v>#NUM!</v>
          </cell>
          <cell r="G44">
            <v>375</v>
          </cell>
          <cell r="H44" t="e">
            <v>#NUM!</v>
          </cell>
          <cell r="I44">
            <v>109</v>
          </cell>
          <cell r="J44">
            <v>135</v>
          </cell>
          <cell r="K44">
            <v>131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 t="str">
            <v>화1</v>
          </cell>
          <cell r="AF44" t="str">
            <v>생1</v>
          </cell>
          <cell r="AG44" t="str">
            <v>지1</v>
          </cell>
          <cell r="AH44" t="str">
            <v>생2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E45" t="str">
            <v>한경훈</v>
          </cell>
          <cell r="F45" t="e">
            <v>#NUM!</v>
          </cell>
          <cell r="G45">
            <v>365</v>
          </cell>
          <cell r="H45" t="e">
            <v>#NUM!</v>
          </cell>
          <cell r="I45">
            <v>112</v>
          </cell>
          <cell r="J45">
            <v>131</v>
          </cell>
          <cell r="K45">
            <v>122</v>
          </cell>
          <cell r="X45">
            <v>97</v>
          </cell>
          <cell r="Y45">
            <v>97</v>
          </cell>
          <cell r="Z45">
            <v>96</v>
          </cell>
          <cell r="AA45">
            <v>99</v>
          </cell>
          <cell r="AB45">
            <v>96</v>
          </cell>
          <cell r="AC45">
            <v>83</v>
          </cell>
          <cell r="AD45">
            <v>98</v>
          </cell>
          <cell r="AE45" t="str">
            <v>물1</v>
          </cell>
          <cell r="AF45" t="str">
            <v>화1</v>
          </cell>
          <cell r="AG45" t="str">
            <v>생1</v>
          </cell>
          <cell r="AH45" t="str">
            <v>화2</v>
          </cell>
          <cell r="AI45">
            <v>1</v>
          </cell>
          <cell r="AJ45">
            <v>1</v>
          </cell>
          <cell r="AK45">
            <v>3</v>
          </cell>
          <cell r="AL45">
            <v>1</v>
          </cell>
          <cell r="AM45">
            <v>1</v>
          </cell>
          <cell r="AN45">
            <v>0</v>
          </cell>
        </row>
        <row r="46">
          <cell r="E46" t="str">
            <v>허설</v>
          </cell>
          <cell r="F46" t="e">
            <v>#NUM!</v>
          </cell>
          <cell r="G46">
            <v>412</v>
          </cell>
          <cell r="H46" t="e">
            <v>#NUM!</v>
          </cell>
          <cell r="I46">
            <v>130</v>
          </cell>
          <cell r="J46">
            <v>142</v>
          </cell>
          <cell r="K46">
            <v>140</v>
          </cell>
          <cell r="X46">
            <v>97</v>
          </cell>
          <cell r="Y46">
            <v>95</v>
          </cell>
          <cell r="Z46">
            <v>88</v>
          </cell>
          <cell r="AA46">
            <v>77</v>
          </cell>
          <cell r="AB46">
            <v>98</v>
          </cell>
          <cell r="AC46">
            <v>99</v>
          </cell>
          <cell r="AD46">
            <v>97</v>
          </cell>
          <cell r="AE46" t="str">
            <v>물1</v>
          </cell>
          <cell r="AF46" t="str">
            <v>화1</v>
          </cell>
          <cell r="AG46" t="str">
            <v>생1</v>
          </cell>
          <cell r="AH46" t="str">
            <v>생2</v>
          </cell>
          <cell r="AI46">
            <v>3</v>
          </cell>
          <cell r="AJ46">
            <v>1</v>
          </cell>
          <cell r="AK46">
            <v>1</v>
          </cell>
          <cell r="AL46">
            <v>1</v>
          </cell>
          <cell r="AM46">
            <v>1</v>
          </cell>
          <cell r="AN46">
            <v>0</v>
          </cell>
        </row>
        <row r="47">
          <cell r="E47" t="str">
            <v>허성혁</v>
          </cell>
          <cell r="F47" t="e">
            <v>#NUM!</v>
          </cell>
          <cell r="G47">
            <v>393</v>
          </cell>
          <cell r="H47" t="e">
            <v>#NUM!</v>
          </cell>
          <cell r="I47">
            <v>127</v>
          </cell>
          <cell r="J47">
            <v>132</v>
          </cell>
          <cell r="K47">
            <v>134</v>
          </cell>
          <cell r="X47">
            <v>95</v>
          </cell>
          <cell r="Y47">
            <v>95</v>
          </cell>
          <cell r="Z47">
            <v>91</v>
          </cell>
          <cell r="AA47">
            <v>63</v>
          </cell>
          <cell r="AB47">
            <v>73</v>
          </cell>
          <cell r="AC47">
            <v>100</v>
          </cell>
          <cell r="AD47">
            <v>92</v>
          </cell>
          <cell r="AE47" t="str">
            <v>물1</v>
          </cell>
          <cell r="AF47" t="str">
            <v>화1</v>
          </cell>
          <cell r="AG47" t="str">
            <v>생1</v>
          </cell>
          <cell r="AH47" t="str">
            <v>생2</v>
          </cell>
          <cell r="AI47">
            <v>4</v>
          </cell>
          <cell r="AJ47">
            <v>4</v>
          </cell>
          <cell r="AK47">
            <v>1</v>
          </cell>
          <cell r="AL47">
            <v>2</v>
          </cell>
          <cell r="AM47">
            <v>1</v>
          </cell>
          <cell r="AN47">
            <v>0</v>
          </cell>
        </row>
        <row r="48">
          <cell r="E48" t="str">
            <v>김단</v>
          </cell>
          <cell r="F48" t="e">
            <v>#NUM!</v>
          </cell>
          <cell r="G48">
            <v>387</v>
          </cell>
          <cell r="H48" t="e">
            <v>#NUM!</v>
          </cell>
          <cell r="I48">
            <v>118</v>
          </cell>
          <cell r="J48">
            <v>135</v>
          </cell>
          <cell r="K48">
            <v>134</v>
          </cell>
          <cell r="X48">
            <v>96</v>
          </cell>
          <cell r="Y48">
            <v>81</v>
          </cell>
          <cell r="Z48">
            <v>90</v>
          </cell>
          <cell r="AA48">
            <v>69</v>
          </cell>
          <cell r="AB48">
            <v>90</v>
          </cell>
          <cell r="AC48">
            <v>93</v>
          </cell>
          <cell r="AD48">
            <v>86</v>
          </cell>
          <cell r="AE48" t="str">
            <v>화1</v>
          </cell>
          <cell r="AF48" t="str">
            <v>생1</v>
          </cell>
          <cell r="AG48" t="str">
            <v>지1</v>
          </cell>
          <cell r="AH48" t="str">
            <v>생2</v>
          </cell>
          <cell r="AI48">
            <v>4</v>
          </cell>
          <cell r="AJ48">
            <v>2</v>
          </cell>
          <cell r="AK48">
            <v>2</v>
          </cell>
          <cell r="AL48">
            <v>3</v>
          </cell>
          <cell r="AM48">
            <v>2</v>
          </cell>
          <cell r="AN48">
            <v>5</v>
          </cell>
        </row>
        <row r="49">
          <cell r="E49" t="str">
            <v>김민규1</v>
          </cell>
          <cell r="F49" t="e">
            <v>#NUM!</v>
          </cell>
          <cell r="G49">
            <v>358</v>
          </cell>
          <cell r="H49" t="e">
            <v>#NUM!</v>
          </cell>
          <cell r="I49">
            <v>125</v>
          </cell>
          <cell r="J49">
            <v>105</v>
          </cell>
          <cell r="K49">
            <v>128</v>
          </cell>
          <cell r="X49">
            <v>92</v>
          </cell>
          <cell r="Y49">
            <v>92</v>
          </cell>
          <cell r="Z49">
            <v>73</v>
          </cell>
          <cell r="AA49">
            <v>93</v>
          </cell>
          <cell r="AB49">
            <v>66</v>
          </cell>
          <cell r="AC49">
            <v>73</v>
          </cell>
          <cell r="AD49">
            <v>97</v>
          </cell>
          <cell r="AE49" t="str">
            <v>물1</v>
          </cell>
          <cell r="AF49" t="str">
            <v>화1</v>
          </cell>
          <cell r="AG49" t="str">
            <v>생1</v>
          </cell>
          <cell r="AH49" t="str">
            <v>물2</v>
          </cell>
          <cell r="AI49">
            <v>2</v>
          </cell>
          <cell r="AJ49">
            <v>4</v>
          </cell>
          <cell r="AK49">
            <v>4</v>
          </cell>
          <cell r="AL49">
            <v>1</v>
          </cell>
          <cell r="AM49">
            <v>1</v>
          </cell>
          <cell r="AN49">
            <v>0</v>
          </cell>
        </row>
        <row r="50">
          <cell r="E50" t="str">
            <v>김성은1</v>
          </cell>
          <cell r="F50" t="e">
            <v>#NUM!</v>
          </cell>
          <cell r="G50">
            <v>387</v>
          </cell>
          <cell r="H50" t="e">
            <v>#NUM!</v>
          </cell>
          <cell r="I50">
            <v>122</v>
          </cell>
          <cell r="J50">
            <v>135</v>
          </cell>
          <cell r="K50">
            <v>130</v>
          </cell>
          <cell r="X50">
            <v>79</v>
          </cell>
          <cell r="Y50">
            <v>56</v>
          </cell>
          <cell r="Z50">
            <v>89</v>
          </cell>
          <cell r="AA50">
            <v>63</v>
          </cell>
          <cell r="AB50">
            <v>61</v>
          </cell>
          <cell r="AC50">
            <v>78</v>
          </cell>
          <cell r="AD50">
            <v>43</v>
          </cell>
          <cell r="AE50" t="str">
            <v>물1</v>
          </cell>
          <cell r="AF50" t="str">
            <v>생1</v>
          </cell>
          <cell r="AG50" t="str">
            <v>지1</v>
          </cell>
          <cell r="AH50" t="str">
            <v>생2</v>
          </cell>
          <cell r="AI50">
            <v>4</v>
          </cell>
          <cell r="AJ50">
            <v>4</v>
          </cell>
          <cell r="AK50">
            <v>3</v>
          </cell>
          <cell r="AL50">
            <v>5</v>
          </cell>
          <cell r="AM50">
            <v>3</v>
          </cell>
          <cell r="AN50">
            <v>4</v>
          </cell>
        </row>
        <row r="51">
          <cell r="E51" t="str">
            <v>김승태</v>
          </cell>
          <cell r="F51" t="e">
            <v>#NUM!</v>
          </cell>
          <cell r="G51">
            <v>401</v>
          </cell>
          <cell r="H51" t="e">
            <v>#NUM!</v>
          </cell>
          <cell r="I51">
            <v>132</v>
          </cell>
          <cell r="J51">
            <v>132</v>
          </cell>
          <cell r="K51">
            <v>137</v>
          </cell>
          <cell r="X51">
            <v>26</v>
          </cell>
          <cell r="Y51">
            <v>20</v>
          </cell>
          <cell r="Z51">
            <v>48</v>
          </cell>
          <cell r="AA51">
            <v>14</v>
          </cell>
          <cell r="AB51">
            <v>26</v>
          </cell>
          <cell r="AC51">
            <v>0</v>
          </cell>
          <cell r="AD51">
            <v>57</v>
          </cell>
          <cell r="AE51" t="str">
            <v>물1</v>
          </cell>
          <cell r="AF51" t="str">
            <v>생1</v>
          </cell>
          <cell r="AG51" t="str">
            <v>지1</v>
          </cell>
          <cell r="AH51" t="str">
            <v>생2</v>
          </cell>
          <cell r="AI51">
            <v>7</v>
          </cell>
          <cell r="AJ51">
            <v>6</v>
          </cell>
          <cell r="AK51">
            <v>9</v>
          </cell>
          <cell r="AL51">
            <v>5</v>
          </cell>
          <cell r="AM51">
            <v>5</v>
          </cell>
          <cell r="AN51">
            <v>0</v>
          </cell>
        </row>
        <row r="52">
          <cell r="E52" t="str">
            <v>김여진</v>
          </cell>
          <cell r="F52" t="e">
            <v>#NUM!</v>
          </cell>
          <cell r="G52">
            <v>364</v>
          </cell>
          <cell r="H52" t="e">
            <v>#NUM!</v>
          </cell>
          <cell r="I52">
            <v>125</v>
          </cell>
          <cell r="J52">
            <v>120</v>
          </cell>
          <cell r="K52">
            <v>119</v>
          </cell>
          <cell r="X52">
            <v>75</v>
          </cell>
          <cell r="Y52">
            <v>81</v>
          </cell>
          <cell r="Z52">
            <v>95</v>
          </cell>
          <cell r="AA52">
            <v>38</v>
          </cell>
          <cell r="AB52">
            <v>77</v>
          </cell>
          <cell r="AC52">
            <v>22</v>
          </cell>
          <cell r="AD52">
            <v>95</v>
          </cell>
          <cell r="AE52" t="str">
            <v>화1</v>
          </cell>
          <cell r="AF52" t="str">
            <v>생1</v>
          </cell>
          <cell r="AG52" t="str">
            <v>지1</v>
          </cell>
          <cell r="AH52" t="str">
            <v>생2</v>
          </cell>
          <cell r="AI52">
            <v>5</v>
          </cell>
          <cell r="AJ52">
            <v>3</v>
          </cell>
          <cell r="AK52">
            <v>6</v>
          </cell>
          <cell r="AL52">
            <v>1</v>
          </cell>
          <cell r="AM52">
            <v>1</v>
          </cell>
          <cell r="AN52">
            <v>0</v>
          </cell>
        </row>
        <row r="53">
          <cell r="E53" t="str">
            <v>김재현</v>
          </cell>
          <cell r="F53" t="e">
            <v>#NUM!</v>
          </cell>
          <cell r="G53">
            <v>400</v>
          </cell>
          <cell r="H53" t="e">
            <v>#NUM!</v>
          </cell>
          <cell r="I53">
            <v>132</v>
          </cell>
          <cell r="J53">
            <v>135</v>
          </cell>
          <cell r="K53">
            <v>133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E54" t="str">
            <v>김지희</v>
          </cell>
          <cell r="F54" t="e">
            <v>#NUM!</v>
          </cell>
          <cell r="G54">
            <v>407</v>
          </cell>
          <cell r="H54" t="e">
            <v>#NUM!</v>
          </cell>
          <cell r="I54">
            <v>129</v>
          </cell>
          <cell r="J54">
            <v>142</v>
          </cell>
          <cell r="K54">
            <v>136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5">
          <cell r="E55" t="str">
            <v>김현수</v>
          </cell>
          <cell r="F55" t="e">
            <v>#NUM!</v>
          </cell>
          <cell r="G55">
            <v>398</v>
          </cell>
          <cell r="H55" t="e">
            <v>#NUM!</v>
          </cell>
          <cell r="I55">
            <v>132</v>
          </cell>
          <cell r="J55">
            <v>132</v>
          </cell>
          <cell r="K55">
            <v>134</v>
          </cell>
          <cell r="X55">
            <v>56</v>
          </cell>
          <cell r="Y55">
            <v>95</v>
          </cell>
          <cell r="Z55">
            <v>79</v>
          </cell>
          <cell r="AA55">
            <v>4</v>
          </cell>
          <cell r="AB55">
            <v>69</v>
          </cell>
          <cell r="AC55">
            <v>77</v>
          </cell>
          <cell r="AD55">
            <v>92</v>
          </cell>
          <cell r="AE55" t="str">
            <v>물1</v>
          </cell>
          <cell r="AF55" t="str">
            <v>화1</v>
          </cell>
          <cell r="AG55" t="str">
            <v>생1</v>
          </cell>
          <cell r="AH55" t="str">
            <v>생2</v>
          </cell>
          <cell r="AI55">
            <v>8</v>
          </cell>
          <cell r="AJ55">
            <v>4</v>
          </cell>
          <cell r="AK55">
            <v>3</v>
          </cell>
          <cell r="AL55">
            <v>2</v>
          </cell>
          <cell r="AM55">
            <v>2</v>
          </cell>
          <cell r="AN55">
            <v>5</v>
          </cell>
        </row>
        <row r="56">
          <cell r="E56" t="str">
            <v>김혜수</v>
          </cell>
          <cell r="F56" t="e">
            <v>#NUM!</v>
          </cell>
          <cell r="G56">
            <v>386</v>
          </cell>
          <cell r="H56" t="e">
            <v>#NUM!</v>
          </cell>
          <cell r="I56">
            <v>125</v>
          </cell>
          <cell r="J56">
            <v>130</v>
          </cell>
          <cell r="K56">
            <v>131</v>
          </cell>
          <cell r="X56">
            <v>99</v>
          </cell>
          <cell r="Y56">
            <v>73</v>
          </cell>
          <cell r="Z56">
            <v>88</v>
          </cell>
          <cell r="AA56">
            <v>97</v>
          </cell>
          <cell r="AB56">
            <v>95</v>
          </cell>
          <cell r="AC56">
            <v>94</v>
          </cell>
          <cell r="AD56">
            <v>83</v>
          </cell>
          <cell r="AE56" t="str">
            <v>물1</v>
          </cell>
          <cell r="AF56" t="str">
            <v>화1</v>
          </cell>
          <cell r="AG56" t="str">
            <v>생1</v>
          </cell>
          <cell r="AH56" t="str">
            <v>화2</v>
          </cell>
          <cell r="AI56">
            <v>1</v>
          </cell>
          <cell r="AJ56">
            <v>2</v>
          </cell>
          <cell r="AK56">
            <v>2</v>
          </cell>
          <cell r="AL56">
            <v>2</v>
          </cell>
          <cell r="AM56">
            <v>1</v>
          </cell>
          <cell r="AN56">
            <v>0</v>
          </cell>
        </row>
        <row r="57">
          <cell r="E57" t="str">
            <v>류승제</v>
          </cell>
          <cell r="F57" t="e">
            <v>#NUM!</v>
          </cell>
          <cell r="G57">
            <v>371</v>
          </cell>
          <cell r="H57" t="e">
            <v>#NUM!</v>
          </cell>
          <cell r="I57">
            <v>118</v>
          </cell>
          <cell r="J57">
            <v>125</v>
          </cell>
          <cell r="K57">
            <v>128</v>
          </cell>
          <cell r="X57">
            <v>87</v>
          </cell>
          <cell r="Y57">
            <v>65</v>
          </cell>
          <cell r="Z57">
            <v>76</v>
          </cell>
          <cell r="AA57">
            <v>88</v>
          </cell>
          <cell r="AB57">
            <v>69</v>
          </cell>
          <cell r="AC57">
            <v>96</v>
          </cell>
          <cell r="AD57">
            <v>80</v>
          </cell>
          <cell r="AE57" t="str">
            <v>물1</v>
          </cell>
          <cell r="AF57" t="str">
            <v>화1</v>
          </cell>
          <cell r="AG57" t="str">
            <v>생1</v>
          </cell>
          <cell r="AH57" t="str">
            <v>화2</v>
          </cell>
          <cell r="AI57">
            <v>2</v>
          </cell>
          <cell r="AJ57">
            <v>4</v>
          </cell>
          <cell r="AK57">
            <v>1</v>
          </cell>
          <cell r="AL57">
            <v>3</v>
          </cell>
          <cell r="AM57">
            <v>1</v>
          </cell>
          <cell r="AN57">
            <v>0</v>
          </cell>
        </row>
        <row r="58">
          <cell r="E58" t="str">
            <v>민성훈</v>
          </cell>
          <cell r="F58" t="e">
            <v>#NUM!</v>
          </cell>
          <cell r="G58">
            <v>396</v>
          </cell>
          <cell r="H58" t="e">
            <v>#NUM!</v>
          </cell>
          <cell r="I58">
            <v>127</v>
          </cell>
          <cell r="J58">
            <v>135</v>
          </cell>
          <cell r="K58">
            <v>134</v>
          </cell>
          <cell r="X58">
            <v>85</v>
          </cell>
          <cell r="Y58">
            <v>63</v>
          </cell>
          <cell r="Z58">
            <v>92</v>
          </cell>
          <cell r="AA58">
            <v>88</v>
          </cell>
          <cell r="AB58">
            <v>87</v>
          </cell>
          <cell r="AC58">
            <v>85</v>
          </cell>
          <cell r="AD58">
            <v>6</v>
          </cell>
          <cell r="AE58" t="str">
            <v>물1</v>
          </cell>
          <cell r="AF58" t="str">
            <v>화1</v>
          </cell>
          <cell r="AG58" t="str">
            <v>생1</v>
          </cell>
          <cell r="AH58" t="str">
            <v>생2</v>
          </cell>
          <cell r="AI58">
            <v>2</v>
          </cell>
          <cell r="AJ58">
            <v>2</v>
          </cell>
          <cell r="AK58">
            <v>3</v>
          </cell>
          <cell r="AL58">
            <v>8</v>
          </cell>
          <cell r="AM58">
            <v>2</v>
          </cell>
          <cell r="AN58">
            <v>5</v>
          </cell>
        </row>
        <row r="59">
          <cell r="E59" t="str">
            <v>박성진</v>
          </cell>
          <cell r="X59">
            <v>93</v>
          </cell>
          <cell r="Y59">
            <v>83</v>
          </cell>
          <cell r="Z59">
            <v>97</v>
          </cell>
          <cell r="AA59">
            <v>88</v>
          </cell>
          <cell r="AB59">
            <v>98</v>
          </cell>
          <cell r="AC59">
            <v>99</v>
          </cell>
          <cell r="AD59">
            <v>97</v>
          </cell>
          <cell r="AE59" t="str">
            <v>물1</v>
          </cell>
          <cell r="AF59" t="str">
            <v>화1</v>
          </cell>
          <cell r="AG59" t="str">
            <v>생1</v>
          </cell>
          <cell r="AH59" t="str">
            <v>생2</v>
          </cell>
          <cell r="AI59">
            <v>2</v>
          </cell>
          <cell r="AJ59">
            <v>1</v>
          </cell>
          <cell r="AK59">
            <v>1</v>
          </cell>
          <cell r="AL59">
            <v>1</v>
          </cell>
          <cell r="AM59">
            <v>1</v>
          </cell>
          <cell r="AN59">
            <v>0</v>
          </cell>
        </row>
        <row r="60">
          <cell r="E60" t="str">
            <v>박송이</v>
          </cell>
          <cell r="X60">
            <v>100</v>
          </cell>
          <cell r="Y60">
            <v>32</v>
          </cell>
          <cell r="Z60">
            <v>88</v>
          </cell>
          <cell r="AA60">
            <v>95</v>
          </cell>
          <cell r="AB60">
            <v>94</v>
          </cell>
          <cell r="AC60">
            <v>56</v>
          </cell>
          <cell r="AD60">
            <v>91</v>
          </cell>
          <cell r="AE60" t="str">
            <v>화1</v>
          </cell>
          <cell r="AF60" t="str">
            <v>생1</v>
          </cell>
          <cell r="AG60" t="str">
            <v>지1</v>
          </cell>
          <cell r="AH60" t="str">
            <v>지2</v>
          </cell>
          <cell r="AI60">
            <v>2</v>
          </cell>
          <cell r="AJ60">
            <v>2</v>
          </cell>
          <cell r="AK60">
            <v>5</v>
          </cell>
          <cell r="AL60">
            <v>2</v>
          </cell>
          <cell r="AM60">
            <v>2</v>
          </cell>
          <cell r="AN60">
            <v>5</v>
          </cell>
        </row>
        <row r="61">
          <cell r="E61" t="str">
            <v>박은진</v>
          </cell>
          <cell r="X61">
            <v>96</v>
          </cell>
          <cell r="Y61">
            <v>84</v>
          </cell>
          <cell r="Z61">
            <v>93</v>
          </cell>
          <cell r="AA61">
            <v>15</v>
          </cell>
          <cell r="AB61">
            <v>90</v>
          </cell>
          <cell r="AC61">
            <v>91</v>
          </cell>
          <cell r="AD61">
            <v>77</v>
          </cell>
          <cell r="AE61" t="str">
            <v>화1</v>
          </cell>
          <cell r="AF61" t="str">
            <v>생1</v>
          </cell>
          <cell r="AG61" t="str">
            <v>지1</v>
          </cell>
          <cell r="AH61" t="str">
            <v>생2</v>
          </cell>
          <cell r="AI61">
            <v>7</v>
          </cell>
          <cell r="AJ61">
            <v>2</v>
          </cell>
          <cell r="AK61">
            <v>2</v>
          </cell>
          <cell r="AL61">
            <v>3</v>
          </cell>
          <cell r="AM61">
            <v>2</v>
          </cell>
          <cell r="AN61">
            <v>5</v>
          </cell>
        </row>
        <row r="62">
          <cell r="E62" t="str">
            <v>서상현</v>
          </cell>
          <cell r="X62">
            <v>92</v>
          </cell>
          <cell r="Y62">
            <v>99</v>
          </cell>
          <cell r="Z62">
            <v>85</v>
          </cell>
          <cell r="AA62">
            <v>85</v>
          </cell>
          <cell r="AB62">
            <v>87</v>
          </cell>
          <cell r="AC62">
            <v>78</v>
          </cell>
          <cell r="AD62">
            <v>90</v>
          </cell>
          <cell r="AE62" t="str">
            <v>물1</v>
          </cell>
          <cell r="AF62" t="str">
            <v>화1</v>
          </cell>
          <cell r="AG62" t="str">
            <v>지1</v>
          </cell>
          <cell r="AH62" t="str">
            <v>물2</v>
          </cell>
          <cell r="AI62">
            <v>3</v>
          </cell>
          <cell r="AJ62">
            <v>2</v>
          </cell>
          <cell r="AK62">
            <v>3</v>
          </cell>
          <cell r="AL62">
            <v>2</v>
          </cell>
          <cell r="AM62">
            <v>2</v>
          </cell>
          <cell r="AN62">
            <v>5</v>
          </cell>
        </row>
        <row r="63">
          <cell r="E63" t="str">
            <v>석상우</v>
          </cell>
          <cell r="X63">
            <v>99</v>
          </cell>
          <cell r="Y63">
            <v>100</v>
          </cell>
          <cell r="Z63">
            <v>99</v>
          </cell>
          <cell r="AA63">
            <v>99</v>
          </cell>
          <cell r="AB63">
            <v>91</v>
          </cell>
          <cell r="AC63">
            <v>100</v>
          </cell>
          <cell r="AD63">
            <v>99</v>
          </cell>
          <cell r="AE63" t="str">
            <v>물1</v>
          </cell>
          <cell r="AF63" t="str">
            <v>화1</v>
          </cell>
          <cell r="AG63" t="str">
            <v>생1</v>
          </cell>
          <cell r="AH63" t="str">
            <v>화2</v>
          </cell>
          <cell r="AI63">
            <v>1</v>
          </cell>
          <cell r="AJ63">
            <v>2</v>
          </cell>
          <cell r="AK63">
            <v>1</v>
          </cell>
          <cell r="AL63">
            <v>1</v>
          </cell>
          <cell r="AM63">
            <v>1</v>
          </cell>
          <cell r="AN63">
            <v>0</v>
          </cell>
        </row>
        <row r="64">
          <cell r="E64" t="str">
            <v>성지환</v>
          </cell>
          <cell r="X64">
            <v>92</v>
          </cell>
          <cell r="Y64">
            <v>96</v>
          </cell>
          <cell r="Z64">
            <v>97</v>
          </cell>
          <cell r="AA64">
            <v>97</v>
          </cell>
          <cell r="AB64">
            <v>87</v>
          </cell>
          <cell r="AC64">
            <v>90</v>
          </cell>
          <cell r="AD64">
            <v>81</v>
          </cell>
          <cell r="AE64" t="str">
            <v>물1</v>
          </cell>
          <cell r="AF64" t="str">
            <v>화1</v>
          </cell>
          <cell r="AG64" t="str">
            <v>생1</v>
          </cell>
          <cell r="AH64" t="str">
            <v>화2</v>
          </cell>
          <cell r="AI64">
            <v>1</v>
          </cell>
          <cell r="AJ64">
            <v>2</v>
          </cell>
          <cell r="AK64">
            <v>2</v>
          </cell>
          <cell r="AL64">
            <v>3</v>
          </cell>
          <cell r="AM64">
            <v>1</v>
          </cell>
          <cell r="AN64">
            <v>0</v>
          </cell>
        </row>
        <row r="65">
          <cell r="E65" t="str">
            <v>오명일</v>
          </cell>
          <cell r="X65">
            <v>79</v>
          </cell>
          <cell r="Y65">
            <v>81</v>
          </cell>
          <cell r="Z65">
            <v>95</v>
          </cell>
          <cell r="AA65">
            <v>93</v>
          </cell>
          <cell r="AB65">
            <v>96</v>
          </cell>
          <cell r="AC65">
            <v>85</v>
          </cell>
          <cell r="AD65">
            <v>94</v>
          </cell>
          <cell r="AE65" t="str">
            <v>물1</v>
          </cell>
          <cell r="AF65" t="str">
            <v>화1</v>
          </cell>
          <cell r="AG65" t="str">
            <v>생1</v>
          </cell>
          <cell r="AH65" t="str">
            <v>화2</v>
          </cell>
          <cell r="AI65">
            <v>2</v>
          </cell>
          <cell r="AJ65">
            <v>1</v>
          </cell>
          <cell r="AK65">
            <v>3</v>
          </cell>
          <cell r="AL65">
            <v>2</v>
          </cell>
          <cell r="AM65">
            <v>1</v>
          </cell>
          <cell r="AN65">
            <v>0</v>
          </cell>
        </row>
        <row r="66">
          <cell r="E66" t="str">
            <v>유진석</v>
          </cell>
          <cell r="X66">
            <v>91</v>
          </cell>
          <cell r="Y66">
            <v>65</v>
          </cell>
          <cell r="Z66">
            <v>99</v>
          </cell>
          <cell r="AA66">
            <v>83</v>
          </cell>
          <cell r="AB66">
            <v>91</v>
          </cell>
          <cell r="AC66">
            <v>68</v>
          </cell>
          <cell r="AD66">
            <v>85</v>
          </cell>
          <cell r="AE66" t="str">
            <v>물1</v>
          </cell>
          <cell r="AF66" t="str">
            <v>화1</v>
          </cell>
          <cell r="AG66" t="str">
            <v>생1</v>
          </cell>
          <cell r="AH66" t="str">
            <v>화2</v>
          </cell>
          <cell r="AI66">
            <v>3</v>
          </cell>
          <cell r="AJ66">
            <v>2</v>
          </cell>
          <cell r="AK66">
            <v>4</v>
          </cell>
          <cell r="AL66">
            <v>3</v>
          </cell>
          <cell r="AM66">
            <v>2</v>
          </cell>
          <cell r="AN66">
            <v>5</v>
          </cell>
        </row>
        <row r="67">
          <cell r="E67" t="str">
            <v>윤성현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E68" t="str">
            <v>이정환</v>
          </cell>
          <cell r="X68">
            <v>93</v>
          </cell>
          <cell r="Y68">
            <v>88</v>
          </cell>
          <cell r="Z68">
            <v>98</v>
          </cell>
          <cell r="AA68">
            <v>93</v>
          </cell>
          <cell r="AB68">
            <v>73</v>
          </cell>
          <cell r="AC68">
            <v>90</v>
          </cell>
          <cell r="AD68">
            <v>97</v>
          </cell>
          <cell r="AE68" t="str">
            <v>물1</v>
          </cell>
          <cell r="AF68" t="str">
            <v>화1</v>
          </cell>
          <cell r="AG68" t="str">
            <v>생1</v>
          </cell>
          <cell r="AH68" t="str">
            <v>생2</v>
          </cell>
          <cell r="AI68">
            <v>2</v>
          </cell>
          <cell r="AJ68">
            <v>4</v>
          </cell>
          <cell r="AK68">
            <v>2</v>
          </cell>
          <cell r="AL68">
            <v>1</v>
          </cell>
          <cell r="AM68">
            <v>1</v>
          </cell>
          <cell r="AN68">
            <v>0</v>
          </cell>
        </row>
        <row r="69">
          <cell r="E69" t="str">
            <v>이희경</v>
          </cell>
          <cell r="X69">
            <v>91</v>
          </cell>
          <cell r="Y69">
            <v>75</v>
          </cell>
          <cell r="Z69">
            <v>71</v>
          </cell>
          <cell r="AA69">
            <v>45</v>
          </cell>
          <cell r="AB69">
            <v>77</v>
          </cell>
          <cell r="AC69">
            <v>97</v>
          </cell>
          <cell r="AD69">
            <v>72</v>
          </cell>
          <cell r="AE69" t="str">
            <v>화1</v>
          </cell>
          <cell r="AF69" t="str">
            <v>생1</v>
          </cell>
          <cell r="AG69" t="str">
            <v>지1</v>
          </cell>
          <cell r="AH69" t="str">
            <v>생2</v>
          </cell>
          <cell r="AI69">
            <v>5</v>
          </cell>
          <cell r="AJ69">
            <v>3</v>
          </cell>
          <cell r="AK69">
            <v>1</v>
          </cell>
          <cell r="AL69">
            <v>4</v>
          </cell>
          <cell r="AM69">
            <v>1</v>
          </cell>
          <cell r="AN69">
            <v>0</v>
          </cell>
        </row>
        <row r="70">
          <cell r="E70" t="str">
            <v>장민재</v>
          </cell>
          <cell r="X70">
            <v>73</v>
          </cell>
          <cell r="Y70">
            <v>69</v>
          </cell>
          <cell r="Z70">
            <v>87</v>
          </cell>
          <cell r="AA70">
            <v>14</v>
          </cell>
          <cell r="AB70">
            <v>75</v>
          </cell>
          <cell r="AC70">
            <v>63</v>
          </cell>
          <cell r="AD70">
            <v>0</v>
          </cell>
          <cell r="AE70" t="str">
            <v>물1</v>
          </cell>
          <cell r="AF70" t="str">
            <v>화1</v>
          </cell>
          <cell r="AG70" t="str">
            <v>생1</v>
          </cell>
          <cell r="AH70">
            <v>0</v>
          </cell>
          <cell r="AI70">
            <v>7</v>
          </cell>
          <cell r="AJ70">
            <v>4</v>
          </cell>
          <cell r="AK70">
            <v>4</v>
          </cell>
          <cell r="AL70">
            <v>0</v>
          </cell>
          <cell r="AM70">
            <v>0</v>
          </cell>
          <cell r="AN70">
            <v>0</v>
          </cell>
        </row>
        <row r="71">
          <cell r="E71" t="str">
            <v>장태영</v>
          </cell>
          <cell r="X71">
            <v>95</v>
          </cell>
          <cell r="Y71">
            <v>86</v>
          </cell>
          <cell r="Z71">
            <v>92</v>
          </cell>
          <cell r="AA71">
            <v>91</v>
          </cell>
          <cell r="AB71">
            <v>97</v>
          </cell>
          <cell r="AC71">
            <v>30</v>
          </cell>
          <cell r="AD71">
            <v>19</v>
          </cell>
          <cell r="AE71" t="str">
            <v>물1</v>
          </cell>
          <cell r="AF71" t="str">
            <v>지1</v>
          </cell>
          <cell r="AG71" t="str">
            <v>물2</v>
          </cell>
          <cell r="AH71" t="str">
            <v>생2</v>
          </cell>
          <cell r="AI71">
            <v>2</v>
          </cell>
          <cell r="AJ71">
            <v>1</v>
          </cell>
          <cell r="AK71">
            <v>6</v>
          </cell>
          <cell r="AL71">
            <v>7</v>
          </cell>
          <cell r="AM71">
            <v>1</v>
          </cell>
          <cell r="AN71">
            <v>0</v>
          </cell>
        </row>
        <row r="72">
          <cell r="E72" t="str">
            <v>전예은</v>
          </cell>
          <cell r="X72">
            <v>96</v>
          </cell>
          <cell r="Y72">
            <v>73</v>
          </cell>
          <cell r="Z72">
            <v>97</v>
          </cell>
          <cell r="AA72">
            <v>41</v>
          </cell>
          <cell r="AB72">
            <v>81</v>
          </cell>
          <cell r="AC72">
            <v>92</v>
          </cell>
          <cell r="AD72">
            <v>86</v>
          </cell>
          <cell r="AE72" t="str">
            <v>물1</v>
          </cell>
          <cell r="AF72" t="str">
            <v>화1</v>
          </cell>
          <cell r="AG72" t="str">
            <v>생1</v>
          </cell>
          <cell r="AH72" t="str">
            <v>생2</v>
          </cell>
          <cell r="AI72">
            <v>5</v>
          </cell>
          <cell r="AJ72">
            <v>3</v>
          </cell>
          <cell r="AK72">
            <v>2</v>
          </cell>
          <cell r="AL72">
            <v>3</v>
          </cell>
          <cell r="AM72">
            <v>2</v>
          </cell>
          <cell r="AN72">
            <v>5</v>
          </cell>
        </row>
        <row r="73">
          <cell r="E73" t="str">
            <v>전태욱</v>
          </cell>
          <cell r="X73">
            <v>41</v>
          </cell>
          <cell r="Y73">
            <v>65</v>
          </cell>
          <cell r="Z73">
            <v>70</v>
          </cell>
          <cell r="AA73">
            <v>73</v>
          </cell>
          <cell r="AB73">
            <v>93</v>
          </cell>
          <cell r="AC73">
            <v>51</v>
          </cell>
          <cell r="AD73">
            <v>42</v>
          </cell>
          <cell r="AE73" t="str">
            <v>물1</v>
          </cell>
          <cell r="AF73" t="str">
            <v>화1</v>
          </cell>
          <cell r="AG73" t="str">
            <v>생1</v>
          </cell>
          <cell r="AH73" t="str">
            <v>화2</v>
          </cell>
          <cell r="AI73">
            <v>4</v>
          </cell>
          <cell r="AJ73">
            <v>2</v>
          </cell>
          <cell r="AK73">
            <v>5</v>
          </cell>
          <cell r="AL73">
            <v>5</v>
          </cell>
          <cell r="AM73">
            <v>2</v>
          </cell>
          <cell r="AN73">
            <v>5</v>
          </cell>
        </row>
        <row r="74">
          <cell r="E74" t="str">
            <v>전현승</v>
          </cell>
          <cell r="X74">
            <v>93</v>
          </cell>
          <cell r="Y74">
            <v>95</v>
          </cell>
          <cell r="Z74">
            <v>85</v>
          </cell>
          <cell r="AA74">
            <v>69</v>
          </cell>
          <cell r="AB74">
            <v>96</v>
          </cell>
          <cell r="AC74">
            <v>91</v>
          </cell>
          <cell r="AD74">
            <v>42</v>
          </cell>
          <cell r="AE74" t="str">
            <v>화1</v>
          </cell>
          <cell r="AF74" t="str">
            <v>생1</v>
          </cell>
          <cell r="AG74" t="str">
            <v>지1</v>
          </cell>
          <cell r="AH74" t="str">
            <v>화2</v>
          </cell>
          <cell r="AI74">
            <v>4</v>
          </cell>
          <cell r="AJ74">
            <v>1</v>
          </cell>
          <cell r="AK74">
            <v>2</v>
          </cell>
          <cell r="AL74">
            <v>5</v>
          </cell>
          <cell r="AM74">
            <v>1</v>
          </cell>
          <cell r="AN74">
            <v>0</v>
          </cell>
        </row>
        <row r="75">
          <cell r="E75" t="str">
            <v>정성한</v>
          </cell>
          <cell r="X75">
            <v>95</v>
          </cell>
          <cell r="Y75">
            <v>86</v>
          </cell>
          <cell r="Z75">
            <v>90</v>
          </cell>
          <cell r="AA75">
            <v>96</v>
          </cell>
          <cell r="AB75">
            <v>94</v>
          </cell>
          <cell r="AC75">
            <v>99</v>
          </cell>
          <cell r="AD75">
            <v>94</v>
          </cell>
          <cell r="AE75" t="str">
            <v>화1</v>
          </cell>
          <cell r="AF75" t="str">
            <v>생1</v>
          </cell>
          <cell r="AG75" t="str">
            <v>지1</v>
          </cell>
          <cell r="AH75" t="str">
            <v>화2</v>
          </cell>
          <cell r="AI75">
            <v>1</v>
          </cell>
          <cell r="AJ75">
            <v>2</v>
          </cell>
          <cell r="AK75">
            <v>1</v>
          </cell>
          <cell r="AL75">
            <v>2</v>
          </cell>
          <cell r="AM75">
            <v>1</v>
          </cell>
          <cell r="AN75">
            <v>0</v>
          </cell>
        </row>
        <row r="76">
          <cell r="E76" t="str">
            <v>조문경</v>
          </cell>
          <cell r="X76">
            <v>92</v>
          </cell>
          <cell r="Y76">
            <v>91</v>
          </cell>
          <cell r="Z76">
            <v>79</v>
          </cell>
          <cell r="AA76">
            <v>100</v>
          </cell>
          <cell r="AB76">
            <v>48</v>
          </cell>
          <cell r="AC76">
            <v>91</v>
          </cell>
          <cell r="AD76">
            <v>95</v>
          </cell>
          <cell r="AE76" t="str">
            <v>물1</v>
          </cell>
          <cell r="AF76" t="str">
            <v>화1</v>
          </cell>
          <cell r="AG76" t="str">
            <v>지1</v>
          </cell>
          <cell r="AH76" t="str">
            <v>물2</v>
          </cell>
          <cell r="AI76">
            <v>1</v>
          </cell>
          <cell r="AJ76">
            <v>5</v>
          </cell>
          <cell r="AK76">
            <v>2</v>
          </cell>
          <cell r="AL76">
            <v>1</v>
          </cell>
          <cell r="AM76">
            <v>1</v>
          </cell>
          <cell r="AN76">
            <v>0</v>
          </cell>
        </row>
        <row r="77">
          <cell r="E77" t="str">
            <v>조병우</v>
          </cell>
          <cell r="X77">
            <v>98</v>
          </cell>
          <cell r="Y77">
            <v>94</v>
          </cell>
          <cell r="Z77">
            <v>97</v>
          </cell>
          <cell r="AA77">
            <v>99</v>
          </cell>
          <cell r="AB77">
            <v>58</v>
          </cell>
          <cell r="AC77">
            <v>77</v>
          </cell>
          <cell r="AD77">
            <v>86</v>
          </cell>
          <cell r="AE77" t="str">
            <v>물1</v>
          </cell>
          <cell r="AF77" t="str">
            <v>화1</v>
          </cell>
          <cell r="AG77" t="str">
            <v>생1</v>
          </cell>
          <cell r="AH77" t="str">
            <v>생2</v>
          </cell>
          <cell r="AI77">
            <v>1</v>
          </cell>
          <cell r="AJ77">
            <v>5</v>
          </cell>
          <cell r="AK77">
            <v>3</v>
          </cell>
          <cell r="AL77">
            <v>3</v>
          </cell>
          <cell r="AM77">
            <v>1</v>
          </cell>
          <cell r="AN77">
            <v>0</v>
          </cell>
        </row>
        <row r="78">
          <cell r="E78" t="str">
            <v>조승욱</v>
          </cell>
          <cell r="X78">
            <v>79</v>
          </cell>
          <cell r="Y78">
            <v>71</v>
          </cell>
          <cell r="Z78">
            <v>91</v>
          </cell>
          <cell r="AA78">
            <v>29</v>
          </cell>
          <cell r="AB78">
            <v>49</v>
          </cell>
          <cell r="AC78">
            <v>27</v>
          </cell>
          <cell r="AD78">
            <v>69</v>
          </cell>
          <cell r="AE78" t="str">
            <v>물1</v>
          </cell>
          <cell r="AF78" t="str">
            <v>생1</v>
          </cell>
          <cell r="AG78" t="str">
            <v>지1</v>
          </cell>
          <cell r="AH78" t="str">
            <v>생2</v>
          </cell>
          <cell r="AI78">
            <v>6</v>
          </cell>
          <cell r="AJ78">
            <v>5</v>
          </cell>
          <cell r="AK78">
            <v>6</v>
          </cell>
          <cell r="AL78">
            <v>4</v>
          </cell>
          <cell r="AM78">
            <v>4</v>
          </cell>
          <cell r="AN78">
            <v>2</v>
          </cell>
        </row>
        <row r="79">
          <cell r="E79" t="str">
            <v>천지영</v>
          </cell>
          <cell r="X79">
            <v>85</v>
          </cell>
          <cell r="Y79">
            <v>89</v>
          </cell>
          <cell r="Z79">
            <v>92</v>
          </cell>
          <cell r="AA79">
            <v>69</v>
          </cell>
          <cell r="AB79">
            <v>96</v>
          </cell>
          <cell r="AC79">
            <v>75</v>
          </cell>
          <cell r="AD79">
            <v>95</v>
          </cell>
          <cell r="AE79" t="str">
            <v>화1</v>
          </cell>
          <cell r="AF79" t="str">
            <v>생1</v>
          </cell>
          <cell r="AG79" t="str">
            <v>지1</v>
          </cell>
          <cell r="AH79" t="str">
            <v>생2</v>
          </cell>
          <cell r="AI79">
            <v>4</v>
          </cell>
          <cell r="AJ79">
            <v>1</v>
          </cell>
          <cell r="AK79">
            <v>4</v>
          </cell>
          <cell r="AL79">
            <v>1</v>
          </cell>
          <cell r="AM79">
            <v>1</v>
          </cell>
          <cell r="AN79">
            <v>0</v>
          </cell>
        </row>
        <row r="80">
          <cell r="E80" t="str">
            <v>최석</v>
          </cell>
          <cell r="X80">
            <v>85</v>
          </cell>
          <cell r="Y80">
            <v>86</v>
          </cell>
          <cell r="Z80">
            <v>76</v>
          </cell>
          <cell r="AA80">
            <v>21</v>
          </cell>
          <cell r="AB80">
            <v>96</v>
          </cell>
          <cell r="AC80">
            <v>87</v>
          </cell>
          <cell r="AD80">
            <v>87</v>
          </cell>
          <cell r="AE80" t="str">
            <v>물1</v>
          </cell>
          <cell r="AF80" t="str">
            <v>화1</v>
          </cell>
          <cell r="AG80" t="str">
            <v>생1</v>
          </cell>
          <cell r="AH80" t="str">
            <v>화2</v>
          </cell>
          <cell r="AI80">
            <v>6</v>
          </cell>
          <cell r="AJ80">
            <v>1</v>
          </cell>
          <cell r="AK80">
            <v>3</v>
          </cell>
          <cell r="AL80">
            <v>3</v>
          </cell>
          <cell r="AM80">
            <v>1</v>
          </cell>
          <cell r="AN80">
            <v>0</v>
          </cell>
        </row>
        <row r="81">
          <cell r="E81" t="str">
            <v>최재욱</v>
          </cell>
          <cell r="X81">
            <v>61</v>
          </cell>
          <cell r="Y81">
            <v>81</v>
          </cell>
          <cell r="Z81">
            <v>91</v>
          </cell>
          <cell r="AA81">
            <v>11</v>
          </cell>
          <cell r="AB81">
            <v>90</v>
          </cell>
          <cell r="AC81">
            <v>4</v>
          </cell>
          <cell r="AD81">
            <v>74</v>
          </cell>
          <cell r="AE81" t="str">
            <v>화1</v>
          </cell>
          <cell r="AF81" t="str">
            <v>생1</v>
          </cell>
          <cell r="AG81" t="str">
            <v>지1</v>
          </cell>
          <cell r="AH81" t="str">
            <v>생2</v>
          </cell>
          <cell r="AI81">
            <v>7</v>
          </cell>
          <cell r="AJ81">
            <v>2</v>
          </cell>
          <cell r="AK81">
            <v>8</v>
          </cell>
          <cell r="AL81">
            <v>4</v>
          </cell>
          <cell r="AM81">
            <v>2</v>
          </cell>
          <cell r="AN81">
            <v>5</v>
          </cell>
        </row>
        <row r="82">
          <cell r="E82" t="str">
            <v>함동훈</v>
          </cell>
          <cell r="X82">
            <v>70</v>
          </cell>
          <cell r="Y82">
            <v>75</v>
          </cell>
          <cell r="Z82">
            <v>88</v>
          </cell>
          <cell r="AA82">
            <v>93</v>
          </cell>
          <cell r="AB82">
            <v>99</v>
          </cell>
          <cell r="AC82">
            <v>26</v>
          </cell>
          <cell r="AD82">
            <v>93</v>
          </cell>
          <cell r="AE82" t="str">
            <v>물1</v>
          </cell>
          <cell r="AF82" t="str">
            <v>화1</v>
          </cell>
          <cell r="AG82" t="str">
            <v>생1</v>
          </cell>
          <cell r="AH82" t="str">
            <v>물2</v>
          </cell>
          <cell r="AI82">
            <v>2</v>
          </cell>
          <cell r="AJ82">
            <v>1</v>
          </cell>
          <cell r="AK82">
            <v>6</v>
          </cell>
          <cell r="AL82">
            <v>2</v>
          </cell>
          <cell r="AM82">
            <v>1</v>
          </cell>
          <cell r="AN82">
            <v>0</v>
          </cell>
        </row>
        <row r="83">
          <cell r="E83" t="str">
            <v>현지연</v>
          </cell>
          <cell r="X83">
            <v>75</v>
          </cell>
          <cell r="Y83">
            <v>83</v>
          </cell>
          <cell r="Z83">
            <v>71</v>
          </cell>
          <cell r="AA83">
            <v>81</v>
          </cell>
          <cell r="AB83">
            <v>40</v>
          </cell>
          <cell r="AC83">
            <v>93</v>
          </cell>
          <cell r="AD83">
            <v>87</v>
          </cell>
          <cell r="AE83" t="str">
            <v>화1</v>
          </cell>
          <cell r="AF83" t="str">
            <v>생1</v>
          </cell>
          <cell r="AG83" t="str">
            <v>지1</v>
          </cell>
          <cell r="AH83" t="str">
            <v>화2</v>
          </cell>
          <cell r="AI83">
            <v>3</v>
          </cell>
          <cell r="AJ83">
            <v>5</v>
          </cell>
          <cell r="AK83">
            <v>2</v>
          </cell>
          <cell r="AL83">
            <v>3</v>
          </cell>
          <cell r="AM83">
            <v>2</v>
          </cell>
          <cell r="AN83">
            <v>5</v>
          </cell>
        </row>
        <row r="84">
          <cell r="E84" t="str">
            <v>홍재희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E85" t="str">
            <v>강희태</v>
          </cell>
          <cell r="X85">
            <v>81</v>
          </cell>
          <cell r="Y85">
            <v>62</v>
          </cell>
          <cell r="Z85">
            <v>68</v>
          </cell>
          <cell r="AA85">
            <v>93</v>
          </cell>
          <cell r="AB85">
            <v>77</v>
          </cell>
          <cell r="AC85">
            <v>97</v>
          </cell>
          <cell r="AD85">
            <v>46</v>
          </cell>
          <cell r="AE85" t="str">
            <v>화1</v>
          </cell>
          <cell r="AF85" t="str">
            <v>생1</v>
          </cell>
          <cell r="AG85" t="str">
            <v>생2</v>
          </cell>
          <cell r="AH85" t="str">
            <v>지2</v>
          </cell>
          <cell r="AI85">
            <v>2</v>
          </cell>
          <cell r="AJ85">
            <v>3</v>
          </cell>
          <cell r="AK85">
            <v>1</v>
          </cell>
          <cell r="AL85">
            <v>5</v>
          </cell>
          <cell r="AM85">
            <v>1</v>
          </cell>
          <cell r="AN85">
            <v>0</v>
          </cell>
        </row>
        <row r="86">
          <cell r="E86" t="str">
            <v>구민아</v>
          </cell>
          <cell r="X86">
            <v>50</v>
          </cell>
          <cell r="Y86">
            <v>43</v>
          </cell>
          <cell r="Z86">
            <v>68</v>
          </cell>
          <cell r="AA86">
            <v>69</v>
          </cell>
          <cell r="AB86">
            <v>59</v>
          </cell>
          <cell r="AC86">
            <v>27</v>
          </cell>
          <cell r="AD86">
            <v>28</v>
          </cell>
          <cell r="AE86" t="str">
            <v>화1</v>
          </cell>
          <cell r="AF86" t="str">
            <v>생1</v>
          </cell>
          <cell r="AG86" t="str">
            <v>지1</v>
          </cell>
          <cell r="AH86" t="str">
            <v>지2</v>
          </cell>
          <cell r="AI86">
            <v>4</v>
          </cell>
          <cell r="AJ86">
            <v>5</v>
          </cell>
          <cell r="AK86">
            <v>6</v>
          </cell>
          <cell r="AL86">
            <v>6</v>
          </cell>
          <cell r="AM86">
            <v>4</v>
          </cell>
          <cell r="AN86">
            <v>2</v>
          </cell>
        </row>
        <row r="87">
          <cell r="E87" t="str">
            <v>국윤학</v>
          </cell>
          <cell r="X87">
            <v>63</v>
          </cell>
          <cell r="Y87">
            <v>79</v>
          </cell>
          <cell r="Z87">
            <v>81</v>
          </cell>
          <cell r="AA87">
            <v>77</v>
          </cell>
          <cell r="AB87">
            <v>87</v>
          </cell>
          <cell r="AC87">
            <v>83</v>
          </cell>
          <cell r="AD87">
            <v>22</v>
          </cell>
          <cell r="AE87" t="str">
            <v>물1</v>
          </cell>
          <cell r="AF87" t="str">
            <v>화1</v>
          </cell>
          <cell r="AG87" t="str">
            <v>생1</v>
          </cell>
          <cell r="AH87" t="str">
            <v>물2</v>
          </cell>
          <cell r="AI87">
            <v>3</v>
          </cell>
          <cell r="AJ87">
            <v>2</v>
          </cell>
          <cell r="AK87">
            <v>3</v>
          </cell>
          <cell r="AL87">
            <v>6</v>
          </cell>
          <cell r="AM87">
            <v>2</v>
          </cell>
          <cell r="AN87">
            <v>5</v>
          </cell>
        </row>
        <row r="88">
          <cell r="E88" t="str">
            <v>김봉학</v>
          </cell>
          <cell r="X88">
            <v>96</v>
          </cell>
          <cell r="Y88">
            <v>97</v>
          </cell>
          <cell r="Z88">
            <v>92</v>
          </cell>
          <cell r="AA88">
            <v>85</v>
          </cell>
          <cell r="AB88">
            <v>87</v>
          </cell>
          <cell r="AC88">
            <v>90</v>
          </cell>
          <cell r="AD88">
            <v>73</v>
          </cell>
          <cell r="AE88" t="str">
            <v>물1</v>
          </cell>
          <cell r="AF88" t="str">
            <v>화1</v>
          </cell>
          <cell r="AG88" t="str">
            <v>생1</v>
          </cell>
          <cell r="AH88" t="str">
            <v>화2</v>
          </cell>
          <cell r="AI88">
            <v>3</v>
          </cell>
          <cell r="AJ88">
            <v>2</v>
          </cell>
          <cell r="AK88">
            <v>2</v>
          </cell>
          <cell r="AL88">
            <v>4</v>
          </cell>
          <cell r="AM88">
            <v>2</v>
          </cell>
          <cell r="AN88">
            <v>5</v>
          </cell>
        </row>
        <row r="89">
          <cell r="E89" t="str">
            <v>김선우</v>
          </cell>
          <cell r="X89">
            <v>83</v>
          </cell>
          <cell r="Y89">
            <v>65</v>
          </cell>
          <cell r="Z89">
            <v>82</v>
          </cell>
          <cell r="AA89">
            <v>87</v>
          </cell>
          <cell r="AB89">
            <v>83</v>
          </cell>
          <cell r="AC89">
            <v>83</v>
          </cell>
          <cell r="AD89">
            <v>3</v>
          </cell>
          <cell r="AE89" t="str">
            <v>화1</v>
          </cell>
          <cell r="AF89" t="str">
            <v>생1</v>
          </cell>
          <cell r="AG89" t="str">
            <v>화2</v>
          </cell>
          <cell r="AH89" t="str">
            <v>생2</v>
          </cell>
          <cell r="AI89">
            <v>2</v>
          </cell>
          <cell r="AJ89">
            <v>3</v>
          </cell>
          <cell r="AK89">
            <v>3</v>
          </cell>
          <cell r="AL89">
            <v>8</v>
          </cell>
          <cell r="AM89">
            <v>2</v>
          </cell>
          <cell r="AN89">
            <v>5</v>
          </cell>
        </row>
        <row r="90">
          <cell r="E90" t="str">
            <v>김시호</v>
          </cell>
          <cell r="X90">
            <v>61</v>
          </cell>
          <cell r="Y90">
            <v>79</v>
          </cell>
          <cell r="Z90">
            <v>68</v>
          </cell>
          <cell r="AA90">
            <v>83</v>
          </cell>
          <cell r="AB90">
            <v>87</v>
          </cell>
          <cell r="AC90">
            <v>93</v>
          </cell>
          <cell r="AD90">
            <v>70</v>
          </cell>
          <cell r="AE90" t="str">
            <v>물1</v>
          </cell>
          <cell r="AF90" t="str">
            <v>화1</v>
          </cell>
          <cell r="AG90" t="str">
            <v>지1</v>
          </cell>
          <cell r="AH90" t="str">
            <v>지2</v>
          </cell>
          <cell r="AI90">
            <v>3</v>
          </cell>
          <cell r="AJ90">
            <v>2</v>
          </cell>
          <cell r="AK90">
            <v>2</v>
          </cell>
          <cell r="AL90">
            <v>4</v>
          </cell>
          <cell r="AM90">
            <v>2</v>
          </cell>
          <cell r="AN90">
            <v>5</v>
          </cell>
        </row>
        <row r="91">
          <cell r="E91" t="str">
            <v>김예찬</v>
          </cell>
          <cell r="X91">
            <v>34</v>
          </cell>
          <cell r="Y91">
            <v>35</v>
          </cell>
          <cell r="Z91">
            <v>81</v>
          </cell>
          <cell r="AA91">
            <v>77</v>
          </cell>
          <cell r="AB91">
            <v>81</v>
          </cell>
          <cell r="AC91">
            <v>26</v>
          </cell>
          <cell r="AD91">
            <v>63</v>
          </cell>
          <cell r="AE91" t="str">
            <v>물1</v>
          </cell>
          <cell r="AF91" t="str">
            <v>화1</v>
          </cell>
          <cell r="AG91" t="str">
            <v>생1</v>
          </cell>
          <cell r="AH91" t="str">
            <v>물2</v>
          </cell>
          <cell r="AI91">
            <v>3</v>
          </cell>
          <cell r="AJ91">
            <v>3</v>
          </cell>
          <cell r="AK91">
            <v>6</v>
          </cell>
          <cell r="AL91">
            <v>4</v>
          </cell>
          <cell r="AM91">
            <v>3</v>
          </cell>
          <cell r="AN91">
            <v>4</v>
          </cell>
        </row>
        <row r="92">
          <cell r="E92" t="str">
            <v>김은정</v>
          </cell>
          <cell r="X92">
            <v>54</v>
          </cell>
          <cell r="Y92">
            <v>50</v>
          </cell>
          <cell r="Z92">
            <v>82</v>
          </cell>
          <cell r="AA92">
            <v>66</v>
          </cell>
          <cell r="AB92">
            <v>77</v>
          </cell>
          <cell r="AC92">
            <v>72</v>
          </cell>
          <cell r="AD92">
            <v>23</v>
          </cell>
          <cell r="AE92" t="str">
            <v>화1</v>
          </cell>
          <cell r="AF92" t="str">
            <v>생1</v>
          </cell>
          <cell r="AG92" t="str">
            <v>생2</v>
          </cell>
          <cell r="AH92" t="str">
            <v>지2</v>
          </cell>
          <cell r="AI92">
            <v>4</v>
          </cell>
          <cell r="AJ92">
            <v>3</v>
          </cell>
          <cell r="AK92">
            <v>4</v>
          </cell>
          <cell r="AL92">
            <v>6</v>
          </cell>
          <cell r="AM92">
            <v>3</v>
          </cell>
          <cell r="AN92">
            <v>4</v>
          </cell>
        </row>
        <row r="93">
          <cell r="E93" t="str">
            <v>류병주</v>
          </cell>
          <cell r="X93">
            <v>85</v>
          </cell>
          <cell r="Y93">
            <v>90</v>
          </cell>
          <cell r="Z93">
            <v>85</v>
          </cell>
          <cell r="AA93">
            <v>20</v>
          </cell>
          <cell r="AB93">
            <v>85</v>
          </cell>
          <cell r="AC93">
            <v>70</v>
          </cell>
          <cell r="AD93">
            <v>86</v>
          </cell>
          <cell r="AE93" t="str">
            <v>화1</v>
          </cell>
          <cell r="AF93" t="str">
            <v>생1</v>
          </cell>
          <cell r="AG93" t="str">
            <v>지1</v>
          </cell>
          <cell r="AH93" t="str">
            <v>생2</v>
          </cell>
          <cell r="AI93">
            <v>7</v>
          </cell>
          <cell r="AJ93">
            <v>3</v>
          </cell>
          <cell r="AK93">
            <v>4</v>
          </cell>
          <cell r="AL93">
            <v>3</v>
          </cell>
          <cell r="AM93">
            <v>3</v>
          </cell>
          <cell r="AN93">
            <v>4</v>
          </cell>
        </row>
        <row r="94">
          <cell r="E94" t="str">
            <v>박건묵</v>
          </cell>
          <cell r="X94">
            <v>63</v>
          </cell>
          <cell r="Y94">
            <v>84</v>
          </cell>
          <cell r="Z94">
            <v>73</v>
          </cell>
          <cell r="AA94">
            <v>69</v>
          </cell>
          <cell r="AB94">
            <v>92</v>
          </cell>
          <cell r="AC94">
            <v>91</v>
          </cell>
          <cell r="AD94">
            <v>42</v>
          </cell>
          <cell r="AE94" t="str">
            <v>화1</v>
          </cell>
          <cell r="AF94" t="str">
            <v>생1</v>
          </cell>
          <cell r="AG94" t="str">
            <v>지1</v>
          </cell>
          <cell r="AH94" t="str">
            <v>화2</v>
          </cell>
          <cell r="AI94">
            <v>4</v>
          </cell>
          <cell r="AJ94">
            <v>2</v>
          </cell>
          <cell r="AK94">
            <v>2</v>
          </cell>
          <cell r="AL94">
            <v>5</v>
          </cell>
          <cell r="AM94">
            <v>2</v>
          </cell>
          <cell r="AN94">
            <v>5</v>
          </cell>
        </row>
        <row r="95">
          <cell r="E95" t="str">
            <v>박신아</v>
          </cell>
          <cell r="X95">
            <v>61</v>
          </cell>
          <cell r="Y95">
            <v>71</v>
          </cell>
          <cell r="Z95">
            <v>73</v>
          </cell>
          <cell r="AA95">
            <v>58</v>
          </cell>
          <cell r="AB95">
            <v>83</v>
          </cell>
          <cell r="AC95">
            <v>95</v>
          </cell>
          <cell r="AD95">
            <v>77</v>
          </cell>
          <cell r="AE95" t="str">
            <v>화1</v>
          </cell>
          <cell r="AF95" t="str">
            <v>생1</v>
          </cell>
          <cell r="AG95" t="str">
            <v>지1</v>
          </cell>
          <cell r="AH95" t="str">
            <v>생2</v>
          </cell>
          <cell r="AI95">
            <v>5</v>
          </cell>
          <cell r="AJ95">
            <v>3</v>
          </cell>
          <cell r="AK95">
            <v>2</v>
          </cell>
          <cell r="AL95">
            <v>3</v>
          </cell>
          <cell r="AM95">
            <v>2</v>
          </cell>
          <cell r="AN95">
            <v>5</v>
          </cell>
        </row>
        <row r="96">
          <cell r="E96" t="str">
            <v>박정민</v>
          </cell>
          <cell r="X96">
            <v>54</v>
          </cell>
          <cell r="Y96">
            <v>69</v>
          </cell>
          <cell r="Z96">
            <v>73</v>
          </cell>
          <cell r="AA96">
            <v>88</v>
          </cell>
          <cell r="AB96">
            <v>73</v>
          </cell>
          <cell r="AC96">
            <v>68</v>
          </cell>
          <cell r="AD96">
            <v>51</v>
          </cell>
          <cell r="AE96" t="str">
            <v>물1</v>
          </cell>
          <cell r="AF96" t="str">
            <v>화1</v>
          </cell>
          <cell r="AG96" t="str">
            <v>물2</v>
          </cell>
          <cell r="AH96" t="str">
            <v>화2</v>
          </cell>
          <cell r="AI96">
            <v>2</v>
          </cell>
          <cell r="AJ96">
            <v>4</v>
          </cell>
          <cell r="AK96">
            <v>4</v>
          </cell>
          <cell r="AL96">
            <v>5</v>
          </cell>
          <cell r="AM96">
            <v>2</v>
          </cell>
          <cell r="AN96">
            <v>5</v>
          </cell>
        </row>
        <row r="97">
          <cell r="E97" t="str">
            <v>박진영</v>
          </cell>
          <cell r="X97">
            <v>39</v>
          </cell>
          <cell r="Y97">
            <v>94</v>
          </cell>
          <cell r="Z97">
            <v>79</v>
          </cell>
          <cell r="AA97">
            <v>93</v>
          </cell>
          <cell r="AB97">
            <v>98</v>
          </cell>
          <cell r="AC97">
            <v>15</v>
          </cell>
          <cell r="AD97">
            <v>86</v>
          </cell>
          <cell r="AE97" t="str">
            <v>화1</v>
          </cell>
          <cell r="AF97" t="str">
            <v>생1</v>
          </cell>
          <cell r="AG97" t="str">
            <v>지1</v>
          </cell>
          <cell r="AH97" t="str">
            <v>생2</v>
          </cell>
          <cell r="AI97">
            <v>2</v>
          </cell>
          <cell r="AJ97">
            <v>1</v>
          </cell>
          <cell r="AK97">
            <v>7</v>
          </cell>
          <cell r="AL97">
            <v>3</v>
          </cell>
          <cell r="AM97">
            <v>1</v>
          </cell>
          <cell r="AN97">
            <v>0</v>
          </cell>
        </row>
        <row r="98">
          <cell r="E98" t="str">
            <v>방남현</v>
          </cell>
          <cell r="X98">
            <v>99</v>
          </cell>
          <cell r="Y98">
            <v>58</v>
          </cell>
          <cell r="Z98">
            <v>95</v>
          </cell>
          <cell r="AA98">
            <v>83</v>
          </cell>
          <cell r="AB98">
            <v>83</v>
          </cell>
          <cell r="AC98">
            <v>78</v>
          </cell>
          <cell r="AD98">
            <v>72</v>
          </cell>
          <cell r="AE98" t="str">
            <v>화1</v>
          </cell>
          <cell r="AF98" t="str">
            <v>생1</v>
          </cell>
          <cell r="AG98" t="str">
            <v>지1</v>
          </cell>
          <cell r="AH98" t="str">
            <v>지2</v>
          </cell>
          <cell r="AI98">
            <v>3</v>
          </cell>
          <cell r="AJ98">
            <v>3</v>
          </cell>
          <cell r="AK98">
            <v>3</v>
          </cell>
          <cell r="AL98">
            <v>4</v>
          </cell>
          <cell r="AM98">
            <v>3</v>
          </cell>
          <cell r="AN98">
            <v>4</v>
          </cell>
        </row>
        <row r="99">
          <cell r="E99" t="str">
            <v>서광훈</v>
          </cell>
          <cell r="X99">
            <v>68</v>
          </cell>
          <cell r="Y99">
            <v>76</v>
          </cell>
          <cell r="Z99">
            <v>85</v>
          </cell>
          <cell r="AA99">
            <v>81</v>
          </cell>
          <cell r="AB99">
            <v>98</v>
          </cell>
          <cell r="AC99">
            <v>70</v>
          </cell>
          <cell r="AD99">
            <v>35</v>
          </cell>
          <cell r="AE99" t="str">
            <v>화1</v>
          </cell>
          <cell r="AF99" t="str">
            <v>생1</v>
          </cell>
          <cell r="AG99" t="str">
            <v>화2</v>
          </cell>
          <cell r="AH99" t="str">
            <v>지2</v>
          </cell>
          <cell r="AI99">
            <v>3</v>
          </cell>
          <cell r="AJ99">
            <v>1</v>
          </cell>
          <cell r="AK99">
            <v>4</v>
          </cell>
          <cell r="AL99">
            <v>5</v>
          </cell>
          <cell r="AM99">
            <v>1</v>
          </cell>
          <cell r="AN99">
            <v>0</v>
          </cell>
        </row>
        <row r="100">
          <cell r="E100" t="str">
            <v>서용운</v>
          </cell>
          <cell r="X100">
            <v>70</v>
          </cell>
          <cell r="Y100">
            <v>88</v>
          </cell>
          <cell r="Z100">
            <v>85</v>
          </cell>
          <cell r="AA100">
            <v>63</v>
          </cell>
          <cell r="AB100">
            <v>66</v>
          </cell>
          <cell r="AC100">
            <v>81</v>
          </cell>
          <cell r="AD100">
            <v>78</v>
          </cell>
          <cell r="AE100" t="str">
            <v>물1</v>
          </cell>
          <cell r="AF100" t="str">
            <v>화1</v>
          </cell>
          <cell r="AG100" t="str">
            <v>생1</v>
          </cell>
          <cell r="AH100" t="str">
            <v>지1</v>
          </cell>
          <cell r="AI100">
            <v>4</v>
          </cell>
          <cell r="AJ100">
            <v>4</v>
          </cell>
          <cell r="AK100">
            <v>3</v>
          </cell>
          <cell r="AL100">
            <v>3</v>
          </cell>
          <cell r="AM100">
            <v>3</v>
          </cell>
          <cell r="AN100">
            <v>4</v>
          </cell>
        </row>
        <row r="101">
          <cell r="E101" t="str">
            <v>성선모</v>
          </cell>
          <cell r="X101">
            <v>99</v>
          </cell>
          <cell r="Y101">
            <v>56</v>
          </cell>
          <cell r="Z101">
            <v>93</v>
          </cell>
          <cell r="AA101">
            <v>73</v>
          </cell>
          <cell r="AB101">
            <v>12</v>
          </cell>
          <cell r="AC101">
            <v>100</v>
          </cell>
          <cell r="AD101">
            <v>97</v>
          </cell>
          <cell r="AE101" t="str">
            <v>물1</v>
          </cell>
          <cell r="AF101" t="str">
            <v>생1</v>
          </cell>
          <cell r="AG101" t="str">
            <v>지1</v>
          </cell>
          <cell r="AH101" t="str">
            <v>지1</v>
          </cell>
          <cell r="AI101">
            <v>4</v>
          </cell>
          <cell r="AJ101">
            <v>7</v>
          </cell>
          <cell r="AK101">
            <v>1</v>
          </cell>
          <cell r="AL101">
            <v>1</v>
          </cell>
          <cell r="AM101">
            <v>1</v>
          </cell>
          <cell r="AN101">
            <v>0</v>
          </cell>
        </row>
        <row r="102">
          <cell r="E102" t="str">
            <v>송민근</v>
          </cell>
          <cell r="X102">
            <v>91</v>
          </cell>
          <cell r="Y102">
            <v>92</v>
          </cell>
          <cell r="Z102">
            <v>82</v>
          </cell>
          <cell r="AA102">
            <v>97</v>
          </cell>
          <cell r="AB102">
            <v>99</v>
          </cell>
          <cell r="AC102">
            <v>77</v>
          </cell>
          <cell r="AD102">
            <v>55</v>
          </cell>
          <cell r="AE102" t="str">
            <v>물1</v>
          </cell>
          <cell r="AF102" t="str">
            <v>화1</v>
          </cell>
          <cell r="AG102" t="str">
            <v>생1</v>
          </cell>
          <cell r="AH102" t="str">
            <v>화2</v>
          </cell>
          <cell r="AI102">
            <v>1</v>
          </cell>
          <cell r="AJ102">
            <v>1</v>
          </cell>
          <cell r="AK102">
            <v>3</v>
          </cell>
          <cell r="AL102">
            <v>5</v>
          </cell>
          <cell r="AM102">
            <v>1</v>
          </cell>
          <cell r="AN102">
            <v>0</v>
          </cell>
        </row>
        <row r="103">
          <cell r="E103" t="str">
            <v>안유라</v>
          </cell>
          <cell r="X103">
            <v>59</v>
          </cell>
          <cell r="Y103">
            <v>62</v>
          </cell>
          <cell r="Z103">
            <v>92</v>
          </cell>
          <cell r="AA103">
            <v>93</v>
          </cell>
          <cell r="AB103">
            <v>98</v>
          </cell>
          <cell r="AC103">
            <v>53</v>
          </cell>
          <cell r="AD103">
            <v>77</v>
          </cell>
          <cell r="AE103" t="str">
            <v>화1</v>
          </cell>
          <cell r="AF103" t="str">
            <v>생1</v>
          </cell>
          <cell r="AG103" t="str">
            <v>지1</v>
          </cell>
          <cell r="AH103" t="str">
            <v>생2</v>
          </cell>
          <cell r="AI103">
            <v>2</v>
          </cell>
          <cell r="AJ103">
            <v>1</v>
          </cell>
          <cell r="AK103">
            <v>5</v>
          </cell>
          <cell r="AL103">
            <v>3</v>
          </cell>
          <cell r="AM103">
            <v>1</v>
          </cell>
          <cell r="AN103">
            <v>0</v>
          </cell>
        </row>
        <row r="104">
          <cell r="E104" t="str">
            <v>양준영</v>
          </cell>
          <cell r="X104">
            <v>75</v>
          </cell>
          <cell r="Y104">
            <v>50</v>
          </cell>
          <cell r="Z104">
            <v>91</v>
          </cell>
          <cell r="AA104">
            <v>78</v>
          </cell>
          <cell r="AB104">
            <v>83</v>
          </cell>
          <cell r="AC104">
            <v>63</v>
          </cell>
          <cell r="AD104">
            <v>35</v>
          </cell>
          <cell r="AE104" t="str">
            <v>화1</v>
          </cell>
          <cell r="AF104" t="str">
            <v>생1</v>
          </cell>
          <cell r="AG104" t="str">
            <v>화2</v>
          </cell>
          <cell r="AH104" t="str">
            <v>지2</v>
          </cell>
          <cell r="AI104">
            <v>3</v>
          </cell>
          <cell r="AJ104">
            <v>3</v>
          </cell>
          <cell r="AK104">
            <v>4</v>
          </cell>
          <cell r="AL104">
            <v>5</v>
          </cell>
          <cell r="AM104">
            <v>3</v>
          </cell>
          <cell r="AN104">
            <v>4</v>
          </cell>
        </row>
        <row r="105">
          <cell r="E105" t="str">
            <v>양현규</v>
          </cell>
          <cell r="X105">
            <v>97</v>
          </cell>
          <cell r="Y105">
            <v>83</v>
          </cell>
          <cell r="Z105">
            <v>82</v>
          </cell>
          <cell r="AA105">
            <v>75</v>
          </cell>
          <cell r="AB105">
            <v>78</v>
          </cell>
          <cell r="AC105">
            <v>98</v>
          </cell>
          <cell r="AD105">
            <v>56</v>
          </cell>
          <cell r="AE105" t="str">
            <v>물1</v>
          </cell>
          <cell r="AF105" t="str">
            <v>화1</v>
          </cell>
          <cell r="AG105" t="str">
            <v>생1</v>
          </cell>
          <cell r="AH105" t="str">
            <v>물2</v>
          </cell>
          <cell r="AI105">
            <v>4</v>
          </cell>
          <cell r="AJ105">
            <v>3</v>
          </cell>
          <cell r="AK105">
            <v>1</v>
          </cell>
          <cell r="AL105">
            <v>5</v>
          </cell>
          <cell r="AM105">
            <v>1</v>
          </cell>
          <cell r="AN105">
            <v>0</v>
          </cell>
        </row>
        <row r="106">
          <cell r="E106" t="str">
            <v>오세현</v>
          </cell>
          <cell r="X106">
            <v>54</v>
          </cell>
          <cell r="Y106">
            <v>88</v>
          </cell>
          <cell r="Z106">
            <v>60</v>
          </cell>
          <cell r="AA106">
            <v>7</v>
          </cell>
          <cell r="AB106">
            <v>98</v>
          </cell>
          <cell r="AC106">
            <v>90</v>
          </cell>
          <cell r="AD106">
            <v>0</v>
          </cell>
          <cell r="AE106" t="str">
            <v>물1</v>
          </cell>
          <cell r="AF106" t="str">
            <v>지1</v>
          </cell>
          <cell r="AG106" t="str">
            <v>지2</v>
          </cell>
          <cell r="AH106">
            <v>0</v>
          </cell>
          <cell r="AI106">
            <v>8</v>
          </cell>
          <cell r="AJ106">
            <v>1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</row>
        <row r="107">
          <cell r="E107" t="str">
            <v>오세환</v>
          </cell>
          <cell r="X107">
            <v>87</v>
          </cell>
          <cell r="Y107">
            <v>73</v>
          </cell>
          <cell r="Z107">
            <v>93</v>
          </cell>
          <cell r="AA107">
            <v>83</v>
          </cell>
          <cell r="AB107">
            <v>4</v>
          </cell>
          <cell r="AC107">
            <v>90</v>
          </cell>
          <cell r="AD107">
            <v>73</v>
          </cell>
          <cell r="AE107" t="str">
            <v>물1</v>
          </cell>
          <cell r="AF107" t="str">
            <v>화1</v>
          </cell>
          <cell r="AG107" t="str">
            <v>생1</v>
          </cell>
          <cell r="AH107" t="str">
            <v>지1</v>
          </cell>
          <cell r="AI107">
            <v>3</v>
          </cell>
          <cell r="AJ107">
            <v>8</v>
          </cell>
          <cell r="AK107">
            <v>2</v>
          </cell>
          <cell r="AL107">
            <v>4</v>
          </cell>
          <cell r="AM107">
            <v>2</v>
          </cell>
          <cell r="AN107">
            <v>5</v>
          </cell>
        </row>
        <row r="108">
          <cell r="E108" t="str">
            <v>옥명학</v>
          </cell>
          <cell r="X108">
            <v>63</v>
          </cell>
          <cell r="Y108">
            <v>94</v>
          </cell>
          <cell r="Z108">
            <v>96</v>
          </cell>
          <cell r="AA108">
            <v>97</v>
          </cell>
          <cell r="AB108">
            <v>98</v>
          </cell>
          <cell r="AC108">
            <v>15</v>
          </cell>
          <cell r="AD108">
            <v>92</v>
          </cell>
          <cell r="AE108" t="str">
            <v>물1</v>
          </cell>
          <cell r="AF108" t="str">
            <v>화1</v>
          </cell>
          <cell r="AG108" t="str">
            <v>생1</v>
          </cell>
          <cell r="AH108" t="str">
            <v>화2</v>
          </cell>
          <cell r="AI108">
            <v>1</v>
          </cell>
          <cell r="AJ108">
            <v>1</v>
          </cell>
          <cell r="AK108">
            <v>7</v>
          </cell>
          <cell r="AL108">
            <v>2</v>
          </cell>
          <cell r="AM108">
            <v>1</v>
          </cell>
          <cell r="AN108">
            <v>0</v>
          </cell>
        </row>
        <row r="109">
          <cell r="E109" t="str">
            <v>유승현</v>
          </cell>
          <cell r="X109">
            <v>43</v>
          </cell>
          <cell r="Y109">
            <v>58</v>
          </cell>
          <cell r="Z109">
            <v>73</v>
          </cell>
          <cell r="AA109">
            <v>61</v>
          </cell>
          <cell r="AB109">
            <v>64</v>
          </cell>
          <cell r="AC109">
            <v>86</v>
          </cell>
          <cell r="AD109">
            <v>35</v>
          </cell>
          <cell r="AE109" t="str">
            <v>생1</v>
          </cell>
          <cell r="AF109" t="str">
            <v>지1</v>
          </cell>
          <cell r="AG109" t="str">
            <v>생2</v>
          </cell>
          <cell r="AH109" t="str">
            <v>지2</v>
          </cell>
          <cell r="AI109">
            <v>4</v>
          </cell>
          <cell r="AJ109">
            <v>4</v>
          </cell>
          <cell r="AK109">
            <v>3</v>
          </cell>
          <cell r="AL109">
            <v>5</v>
          </cell>
          <cell r="AM109">
            <v>3</v>
          </cell>
          <cell r="AN109">
            <v>4</v>
          </cell>
        </row>
        <row r="110">
          <cell r="E110" t="str">
            <v>윤종현</v>
          </cell>
          <cell r="X110">
            <v>46</v>
          </cell>
          <cell r="Y110">
            <v>60</v>
          </cell>
          <cell r="Z110">
            <v>95</v>
          </cell>
          <cell r="AA110">
            <v>77</v>
          </cell>
          <cell r="AB110">
            <v>22</v>
          </cell>
          <cell r="AC110">
            <v>85</v>
          </cell>
          <cell r="AD110">
            <v>12</v>
          </cell>
          <cell r="AE110" t="str">
            <v>물1</v>
          </cell>
          <cell r="AF110" t="str">
            <v>지1</v>
          </cell>
          <cell r="AG110" t="str">
            <v>물2</v>
          </cell>
          <cell r="AH110" t="str">
            <v>지2</v>
          </cell>
          <cell r="AI110">
            <v>3</v>
          </cell>
          <cell r="AJ110">
            <v>6</v>
          </cell>
          <cell r="AK110">
            <v>3</v>
          </cell>
          <cell r="AL110">
            <v>7</v>
          </cell>
          <cell r="AM110">
            <v>3</v>
          </cell>
          <cell r="AN110">
            <v>4</v>
          </cell>
        </row>
        <row r="111">
          <cell r="E111" t="str">
            <v>이재국</v>
          </cell>
          <cell r="X111">
            <v>97</v>
          </cell>
          <cell r="Y111">
            <v>90</v>
          </cell>
          <cell r="Z111">
            <v>85</v>
          </cell>
          <cell r="AA111">
            <v>75</v>
          </cell>
          <cell r="AB111">
            <v>78</v>
          </cell>
          <cell r="AC111">
            <v>55</v>
          </cell>
          <cell r="AD111">
            <v>93</v>
          </cell>
          <cell r="AE111" t="str">
            <v>물1</v>
          </cell>
          <cell r="AF111" t="str">
            <v>화1</v>
          </cell>
          <cell r="AG111" t="str">
            <v>생1</v>
          </cell>
          <cell r="AH111" t="str">
            <v>지1</v>
          </cell>
          <cell r="AI111">
            <v>4</v>
          </cell>
          <cell r="AJ111">
            <v>3</v>
          </cell>
          <cell r="AK111">
            <v>5</v>
          </cell>
          <cell r="AL111">
            <v>2</v>
          </cell>
          <cell r="AM111">
            <v>2</v>
          </cell>
          <cell r="AN111">
            <v>5</v>
          </cell>
        </row>
        <row r="112">
          <cell r="E112" t="str">
            <v>이정훈2</v>
          </cell>
          <cell r="X112">
            <v>77</v>
          </cell>
          <cell r="Y112">
            <v>91</v>
          </cell>
          <cell r="Z112">
            <v>98</v>
          </cell>
          <cell r="AA112">
            <v>88</v>
          </cell>
          <cell r="AB112">
            <v>96</v>
          </cell>
          <cell r="AC112">
            <v>80</v>
          </cell>
          <cell r="AD112">
            <v>42</v>
          </cell>
          <cell r="AE112" t="str">
            <v>물1</v>
          </cell>
          <cell r="AF112" t="str">
            <v>화1</v>
          </cell>
          <cell r="AG112" t="str">
            <v>물2</v>
          </cell>
          <cell r="AH112" t="str">
            <v>화2</v>
          </cell>
          <cell r="AI112">
            <v>2</v>
          </cell>
          <cell r="AJ112">
            <v>1</v>
          </cell>
          <cell r="AK112">
            <v>3</v>
          </cell>
          <cell r="AL112">
            <v>5</v>
          </cell>
          <cell r="AM112">
            <v>1</v>
          </cell>
          <cell r="AN112">
            <v>0</v>
          </cell>
        </row>
        <row r="113">
          <cell r="E113" t="str">
            <v>임예진</v>
          </cell>
          <cell r="X113">
            <v>87</v>
          </cell>
          <cell r="Y113">
            <v>37</v>
          </cell>
          <cell r="Z113">
            <v>66</v>
          </cell>
          <cell r="AA113">
            <v>6</v>
          </cell>
          <cell r="AB113">
            <v>68</v>
          </cell>
          <cell r="AC113">
            <v>83</v>
          </cell>
          <cell r="AD113">
            <v>12</v>
          </cell>
          <cell r="AE113" t="str">
            <v>화1</v>
          </cell>
          <cell r="AF113" t="str">
            <v>생1</v>
          </cell>
          <cell r="AG113" t="str">
            <v>생2</v>
          </cell>
          <cell r="AH113" t="str">
            <v>지2</v>
          </cell>
          <cell r="AI113">
            <v>8</v>
          </cell>
          <cell r="AJ113">
            <v>4</v>
          </cell>
          <cell r="AK113">
            <v>3</v>
          </cell>
          <cell r="AL113">
            <v>7</v>
          </cell>
          <cell r="AM113">
            <v>3</v>
          </cell>
          <cell r="AN113">
            <v>4</v>
          </cell>
        </row>
        <row r="114">
          <cell r="E114" t="str">
            <v>임종윤</v>
          </cell>
          <cell r="X114">
            <v>68</v>
          </cell>
          <cell r="Y114">
            <v>81</v>
          </cell>
          <cell r="Z114">
            <v>82</v>
          </cell>
          <cell r="AA114">
            <v>83</v>
          </cell>
          <cell r="AB114">
            <v>69</v>
          </cell>
          <cell r="AC114">
            <v>95</v>
          </cell>
          <cell r="AD114">
            <v>26</v>
          </cell>
          <cell r="AE114" t="str">
            <v>물1</v>
          </cell>
          <cell r="AF114" t="str">
            <v>화1</v>
          </cell>
          <cell r="AG114" t="str">
            <v>지1</v>
          </cell>
          <cell r="AH114" t="str">
            <v>화2</v>
          </cell>
          <cell r="AI114">
            <v>3</v>
          </cell>
          <cell r="AJ114">
            <v>4</v>
          </cell>
          <cell r="AK114">
            <v>2</v>
          </cell>
          <cell r="AL114">
            <v>6</v>
          </cell>
          <cell r="AM114">
            <v>2</v>
          </cell>
          <cell r="AN114">
            <v>5</v>
          </cell>
        </row>
        <row r="115">
          <cell r="E115" t="str">
            <v>전형규</v>
          </cell>
          <cell r="X115">
            <v>93</v>
          </cell>
          <cell r="Y115">
            <v>94</v>
          </cell>
          <cell r="Z115">
            <v>82</v>
          </cell>
          <cell r="AA115">
            <v>91</v>
          </cell>
          <cell r="AB115">
            <v>81</v>
          </cell>
          <cell r="AC115">
            <v>85</v>
          </cell>
          <cell r="AD115">
            <v>13</v>
          </cell>
          <cell r="AE115" t="str">
            <v>물1</v>
          </cell>
          <cell r="AF115" t="str">
            <v>화1</v>
          </cell>
          <cell r="AG115" t="str">
            <v>생1</v>
          </cell>
          <cell r="AH115" t="str">
            <v>화2</v>
          </cell>
          <cell r="AI115">
            <v>2</v>
          </cell>
          <cell r="AJ115">
            <v>3</v>
          </cell>
          <cell r="AK115">
            <v>3</v>
          </cell>
          <cell r="AL115">
            <v>7</v>
          </cell>
          <cell r="AM115">
            <v>2</v>
          </cell>
          <cell r="AN115">
            <v>5</v>
          </cell>
        </row>
        <row r="116">
          <cell r="E116" t="str">
            <v>정시준</v>
          </cell>
          <cell r="X116">
            <v>77</v>
          </cell>
          <cell r="Y116">
            <v>39</v>
          </cell>
          <cell r="Z116">
            <v>92</v>
          </cell>
          <cell r="AA116">
            <v>91</v>
          </cell>
          <cell r="AB116">
            <v>66</v>
          </cell>
          <cell r="AC116">
            <v>91</v>
          </cell>
          <cell r="AD116">
            <v>34</v>
          </cell>
          <cell r="AE116" t="str">
            <v>화1</v>
          </cell>
          <cell r="AF116" t="str">
            <v>생1</v>
          </cell>
          <cell r="AG116" t="str">
            <v>지1</v>
          </cell>
          <cell r="AH116" t="str">
            <v>화2</v>
          </cell>
          <cell r="AI116">
            <v>2</v>
          </cell>
          <cell r="AJ116">
            <v>4</v>
          </cell>
          <cell r="AK116">
            <v>2</v>
          </cell>
          <cell r="AL116">
            <v>6</v>
          </cell>
          <cell r="AM116">
            <v>2</v>
          </cell>
          <cell r="AN116">
            <v>5</v>
          </cell>
        </row>
        <row r="117">
          <cell r="E117" t="str">
            <v>최민지</v>
          </cell>
          <cell r="X117">
            <v>70</v>
          </cell>
          <cell r="Y117">
            <v>71</v>
          </cell>
          <cell r="Z117">
            <v>88</v>
          </cell>
          <cell r="AA117">
            <v>79</v>
          </cell>
          <cell r="AB117">
            <v>83</v>
          </cell>
          <cell r="AC117">
            <v>55</v>
          </cell>
          <cell r="AD117">
            <v>34</v>
          </cell>
          <cell r="AE117" t="str">
            <v>물1</v>
          </cell>
          <cell r="AF117" t="str">
            <v>화1</v>
          </cell>
          <cell r="AG117" t="str">
            <v>생1</v>
          </cell>
          <cell r="AH117" t="str">
            <v>화2</v>
          </cell>
          <cell r="AI117">
            <v>3</v>
          </cell>
          <cell r="AJ117">
            <v>3</v>
          </cell>
          <cell r="AK117">
            <v>5</v>
          </cell>
          <cell r="AL117">
            <v>6</v>
          </cell>
          <cell r="AM117">
            <v>3</v>
          </cell>
          <cell r="AN117">
            <v>4</v>
          </cell>
        </row>
        <row r="118">
          <cell r="E118" t="str">
            <v>최현지</v>
          </cell>
          <cell r="X118">
            <v>83</v>
          </cell>
          <cell r="Y118">
            <v>65</v>
          </cell>
          <cell r="Z118">
            <v>78</v>
          </cell>
          <cell r="AA118">
            <v>69</v>
          </cell>
          <cell r="AB118">
            <v>59</v>
          </cell>
          <cell r="AC118">
            <v>88</v>
          </cell>
          <cell r="AD118">
            <v>0</v>
          </cell>
          <cell r="AE118" t="str">
            <v>화1</v>
          </cell>
          <cell r="AF118" t="str">
            <v>생1</v>
          </cell>
          <cell r="AG118" t="str">
            <v>지1</v>
          </cell>
          <cell r="AH118">
            <v>0</v>
          </cell>
          <cell r="AI118">
            <v>4</v>
          </cell>
          <cell r="AJ118">
            <v>5</v>
          </cell>
          <cell r="AK118">
            <v>3</v>
          </cell>
          <cell r="AL118">
            <v>0</v>
          </cell>
          <cell r="AM118">
            <v>0</v>
          </cell>
          <cell r="AN118">
            <v>0</v>
          </cell>
        </row>
        <row r="119">
          <cell r="E119" t="str">
            <v>권세진</v>
          </cell>
          <cell r="X119">
            <v>56</v>
          </cell>
          <cell r="Y119">
            <v>99</v>
          </cell>
          <cell r="Z119">
            <v>63</v>
          </cell>
          <cell r="AA119">
            <v>95</v>
          </cell>
          <cell r="AB119">
            <v>98</v>
          </cell>
          <cell r="AC119">
            <v>100</v>
          </cell>
          <cell r="AD119">
            <v>0</v>
          </cell>
          <cell r="AE119" t="str">
            <v>물1</v>
          </cell>
          <cell r="AF119" t="str">
            <v>지1</v>
          </cell>
          <cell r="AG119" t="str">
            <v>물2</v>
          </cell>
          <cell r="AH119">
            <v>0</v>
          </cell>
          <cell r="AI119">
            <v>2</v>
          </cell>
          <cell r="AJ119">
            <v>1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</row>
        <row r="120">
          <cell r="E120" t="str">
            <v>김동하</v>
          </cell>
          <cell r="X120">
            <v>96</v>
          </cell>
          <cell r="Y120">
            <v>54</v>
          </cell>
          <cell r="Z120">
            <v>71</v>
          </cell>
          <cell r="AA120">
            <v>58</v>
          </cell>
          <cell r="AB120">
            <v>59</v>
          </cell>
          <cell r="AC120">
            <v>58</v>
          </cell>
          <cell r="AD120">
            <v>77</v>
          </cell>
          <cell r="AE120" t="str">
            <v>화1</v>
          </cell>
          <cell r="AF120" t="str">
            <v>생1</v>
          </cell>
          <cell r="AG120" t="str">
            <v>화2</v>
          </cell>
          <cell r="AH120" t="str">
            <v>생2</v>
          </cell>
          <cell r="AI120">
            <v>5</v>
          </cell>
          <cell r="AJ120">
            <v>5</v>
          </cell>
          <cell r="AK120">
            <v>5</v>
          </cell>
          <cell r="AL120">
            <v>3</v>
          </cell>
          <cell r="AM120">
            <v>3</v>
          </cell>
          <cell r="AN120">
            <v>4</v>
          </cell>
        </row>
        <row r="121">
          <cell r="E121" t="str">
            <v>김선홍</v>
          </cell>
          <cell r="X121">
            <v>41</v>
          </cell>
          <cell r="Y121">
            <v>60</v>
          </cell>
          <cell r="Z121">
            <v>89</v>
          </cell>
          <cell r="AA121">
            <v>87</v>
          </cell>
          <cell r="AB121">
            <v>73</v>
          </cell>
          <cell r="AC121">
            <v>0</v>
          </cell>
          <cell r="AD121">
            <v>0</v>
          </cell>
          <cell r="AE121" t="str">
            <v>화1</v>
          </cell>
          <cell r="AF121" t="str">
            <v>생1</v>
          </cell>
          <cell r="AG121">
            <v>0</v>
          </cell>
          <cell r="AH121">
            <v>0</v>
          </cell>
          <cell r="AI121">
            <v>3</v>
          </cell>
          <cell r="AJ121">
            <v>4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E122" t="str">
            <v>김순호</v>
          </cell>
          <cell r="X122">
            <v>68</v>
          </cell>
          <cell r="Y122">
            <v>71</v>
          </cell>
          <cell r="Z122">
            <v>79</v>
          </cell>
          <cell r="AA122">
            <v>73</v>
          </cell>
          <cell r="AB122">
            <v>87</v>
          </cell>
          <cell r="AC122">
            <v>68</v>
          </cell>
          <cell r="AD122">
            <v>98</v>
          </cell>
          <cell r="AE122" t="str">
            <v>물1</v>
          </cell>
          <cell r="AF122" t="str">
            <v>화1</v>
          </cell>
          <cell r="AG122" t="str">
            <v>물2</v>
          </cell>
          <cell r="AH122" t="str">
            <v>화2</v>
          </cell>
          <cell r="AI122">
            <v>4</v>
          </cell>
          <cell r="AJ122">
            <v>2</v>
          </cell>
          <cell r="AK122">
            <v>4</v>
          </cell>
          <cell r="AL122">
            <v>1</v>
          </cell>
          <cell r="AM122">
            <v>1</v>
          </cell>
          <cell r="AN122">
            <v>0</v>
          </cell>
        </row>
        <row r="123">
          <cell r="E123" t="str">
            <v>김영준</v>
          </cell>
          <cell r="X123">
            <v>79</v>
          </cell>
          <cell r="Y123">
            <v>60</v>
          </cell>
          <cell r="Z123">
            <v>95</v>
          </cell>
          <cell r="AA123">
            <v>85</v>
          </cell>
          <cell r="AB123">
            <v>78</v>
          </cell>
          <cell r="AC123">
            <v>90</v>
          </cell>
          <cell r="AD123">
            <v>76</v>
          </cell>
          <cell r="AE123" t="str">
            <v>물1</v>
          </cell>
          <cell r="AF123" t="str">
            <v>화1</v>
          </cell>
          <cell r="AG123" t="str">
            <v>생1</v>
          </cell>
          <cell r="AH123" t="str">
            <v>화2</v>
          </cell>
          <cell r="AI123">
            <v>3</v>
          </cell>
          <cell r="AJ123">
            <v>3</v>
          </cell>
          <cell r="AK123">
            <v>2</v>
          </cell>
          <cell r="AL123">
            <v>4</v>
          </cell>
          <cell r="AM123">
            <v>2</v>
          </cell>
          <cell r="AN123">
            <v>5</v>
          </cell>
        </row>
        <row r="124">
          <cell r="E124" t="str">
            <v>김윤환</v>
          </cell>
          <cell r="X124">
            <v>81</v>
          </cell>
          <cell r="Y124">
            <v>54</v>
          </cell>
          <cell r="Z124">
            <v>66</v>
          </cell>
          <cell r="AA124">
            <v>41</v>
          </cell>
          <cell r="AB124">
            <v>71</v>
          </cell>
          <cell r="AC124">
            <v>81</v>
          </cell>
          <cell r="AD124">
            <v>7</v>
          </cell>
          <cell r="AE124" t="str">
            <v>물1</v>
          </cell>
          <cell r="AF124" t="str">
            <v>생1</v>
          </cell>
          <cell r="AG124" t="str">
            <v>생2</v>
          </cell>
          <cell r="AH124" t="str">
            <v>지2</v>
          </cell>
          <cell r="AI124">
            <v>5</v>
          </cell>
          <cell r="AJ124">
            <v>4</v>
          </cell>
          <cell r="AK124">
            <v>3</v>
          </cell>
          <cell r="AL124">
            <v>8</v>
          </cell>
          <cell r="AM124">
            <v>3</v>
          </cell>
          <cell r="AN124">
            <v>4</v>
          </cell>
        </row>
        <row r="125">
          <cell r="E125" t="str">
            <v>김종기</v>
          </cell>
          <cell r="X125">
            <v>66</v>
          </cell>
          <cell r="Y125">
            <v>68</v>
          </cell>
          <cell r="Z125">
            <v>90</v>
          </cell>
          <cell r="AA125">
            <v>63</v>
          </cell>
          <cell r="AB125">
            <v>78</v>
          </cell>
          <cell r="AC125">
            <v>85</v>
          </cell>
          <cell r="AD125">
            <v>50</v>
          </cell>
          <cell r="AE125" t="str">
            <v>물1</v>
          </cell>
          <cell r="AF125" t="str">
            <v>화1</v>
          </cell>
          <cell r="AG125" t="str">
            <v>지1</v>
          </cell>
          <cell r="AH125" t="str">
            <v>지2</v>
          </cell>
          <cell r="AI125">
            <v>4</v>
          </cell>
          <cell r="AJ125">
            <v>3</v>
          </cell>
          <cell r="AK125">
            <v>3</v>
          </cell>
          <cell r="AL125">
            <v>5</v>
          </cell>
          <cell r="AM125">
            <v>3</v>
          </cell>
          <cell r="AN125">
            <v>4</v>
          </cell>
        </row>
        <row r="126">
          <cell r="E126" t="str">
            <v>김종백</v>
          </cell>
          <cell r="X126">
            <v>85</v>
          </cell>
          <cell r="Y126">
            <v>56</v>
          </cell>
          <cell r="Z126">
            <v>87</v>
          </cell>
          <cell r="AA126">
            <v>64</v>
          </cell>
          <cell r="AB126">
            <v>90</v>
          </cell>
          <cell r="AC126">
            <v>86</v>
          </cell>
          <cell r="AD126">
            <v>35</v>
          </cell>
          <cell r="AE126" t="str">
            <v>화1</v>
          </cell>
          <cell r="AF126" t="str">
            <v>생1</v>
          </cell>
          <cell r="AG126" t="str">
            <v>생2</v>
          </cell>
          <cell r="AH126" t="str">
            <v>지2</v>
          </cell>
          <cell r="AI126">
            <v>4</v>
          </cell>
          <cell r="AJ126">
            <v>2</v>
          </cell>
          <cell r="AK126">
            <v>3</v>
          </cell>
          <cell r="AL126">
            <v>5</v>
          </cell>
          <cell r="AM126">
            <v>2</v>
          </cell>
          <cell r="AN126">
            <v>5</v>
          </cell>
        </row>
        <row r="127">
          <cell r="E127" t="str">
            <v>김준기</v>
          </cell>
          <cell r="X127">
            <v>61</v>
          </cell>
          <cell r="Y127">
            <v>98</v>
          </cell>
          <cell r="Z127">
            <v>88</v>
          </cell>
          <cell r="AA127">
            <v>88</v>
          </cell>
          <cell r="AB127">
            <v>91</v>
          </cell>
          <cell r="AC127">
            <v>95</v>
          </cell>
          <cell r="AD127">
            <v>78</v>
          </cell>
          <cell r="AE127" t="str">
            <v>물1</v>
          </cell>
          <cell r="AF127" t="str">
            <v>화1</v>
          </cell>
          <cell r="AG127" t="str">
            <v>물2</v>
          </cell>
          <cell r="AH127" t="str">
            <v>화2</v>
          </cell>
          <cell r="AI127">
            <v>2</v>
          </cell>
          <cell r="AJ127">
            <v>2</v>
          </cell>
          <cell r="AK127">
            <v>1</v>
          </cell>
          <cell r="AL127">
            <v>3</v>
          </cell>
          <cell r="AM127">
            <v>1</v>
          </cell>
          <cell r="AN127">
            <v>0</v>
          </cell>
        </row>
        <row r="128">
          <cell r="E128" t="str">
            <v>김현아1</v>
          </cell>
          <cell r="X128">
            <v>87</v>
          </cell>
          <cell r="Y128">
            <v>73</v>
          </cell>
          <cell r="Z128">
            <v>75</v>
          </cell>
          <cell r="AA128">
            <v>63</v>
          </cell>
          <cell r="AB128">
            <v>59</v>
          </cell>
          <cell r="AC128">
            <v>47</v>
          </cell>
          <cell r="AD128">
            <v>46</v>
          </cell>
          <cell r="AE128" t="str">
            <v>물1</v>
          </cell>
          <cell r="AF128" t="str">
            <v>생1</v>
          </cell>
          <cell r="AG128" t="str">
            <v>물2</v>
          </cell>
          <cell r="AH128" t="str">
            <v>생2</v>
          </cell>
          <cell r="AI128">
            <v>4</v>
          </cell>
          <cell r="AJ128">
            <v>5</v>
          </cell>
          <cell r="AK128">
            <v>5</v>
          </cell>
          <cell r="AL128">
            <v>5</v>
          </cell>
          <cell r="AM128">
            <v>4</v>
          </cell>
          <cell r="AN128">
            <v>2</v>
          </cell>
        </row>
        <row r="129">
          <cell r="E129" t="str">
            <v>김혜진</v>
          </cell>
          <cell r="X129">
            <v>92</v>
          </cell>
          <cell r="Y129">
            <v>68</v>
          </cell>
          <cell r="Z129">
            <v>65</v>
          </cell>
          <cell r="AA129">
            <v>27</v>
          </cell>
          <cell r="AB129">
            <v>94</v>
          </cell>
          <cell r="AC129">
            <v>91</v>
          </cell>
          <cell r="AD129">
            <v>0</v>
          </cell>
          <cell r="AE129" t="str">
            <v>화1</v>
          </cell>
          <cell r="AF129" t="str">
            <v>생1</v>
          </cell>
          <cell r="AG129" t="str">
            <v>생2</v>
          </cell>
          <cell r="AH129">
            <v>0</v>
          </cell>
          <cell r="AI129">
            <v>6</v>
          </cell>
          <cell r="AJ129">
            <v>2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</row>
        <row r="130">
          <cell r="E130" t="str">
            <v>문민기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</row>
        <row r="131">
          <cell r="E131" t="str">
            <v>문성일</v>
          </cell>
          <cell r="X131">
            <v>61</v>
          </cell>
          <cell r="Y131">
            <v>68</v>
          </cell>
          <cell r="Z131">
            <v>60</v>
          </cell>
          <cell r="AA131">
            <v>53</v>
          </cell>
          <cell r="AB131">
            <v>75</v>
          </cell>
          <cell r="AC131">
            <v>60</v>
          </cell>
          <cell r="AD131">
            <v>30</v>
          </cell>
          <cell r="AE131" t="str">
            <v>물1</v>
          </cell>
          <cell r="AF131" t="str">
            <v>화1</v>
          </cell>
          <cell r="AG131" t="str">
            <v>지1</v>
          </cell>
          <cell r="AH131" t="str">
            <v>물2</v>
          </cell>
          <cell r="AI131">
            <v>5</v>
          </cell>
          <cell r="AJ131">
            <v>4</v>
          </cell>
          <cell r="AK131">
            <v>4</v>
          </cell>
          <cell r="AL131">
            <v>6</v>
          </cell>
          <cell r="AM131">
            <v>4</v>
          </cell>
          <cell r="AN131">
            <v>2</v>
          </cell>
        </row>
        <row r="132">
          <cell r="E132" t="str">
            <v>문익진</v>
          </cell>
          <cell r="X132">
            <v>95</v>
          </cell>
          <cell r="Y132">
            <v>68</v>
          </cell>
          <cell r="Z132">
            <v>73</v>
          </cell>
          <cell r="AA132">
            <v>75</v>
          </cell>
          <cell r="AB132">
            <v>87</v>
          </cell>
          <cell r="AC132">
            <v>99</v>
          </cell>
          <cell r="AD132">
            <v>42</v>
          </cell>
          <cell r="AE132" t="str">
            <v>화1</v>
          </cell>
          <cell r="AF132" t="str">
            <v>생1</v>
          </cell>
          <cell r="AG132" t="str">
            <v>생2</v>
          </cell>
          <cell r="AH132" t="str">
            <v>지2</v>
          </cell>
          <cell r="AI132">
            <v>4</v>
          </cell>
          <cell r="AJ132">
            <v>3</v>
          </cell>
          <cell r="AK132">
            <v>1</v>
          </cell>
          <cell r="AL132">
            <v>5</v>
          </cell>
          <cell r="AM132">
            <v>1</v>
          </cell>
          <cell r="AN132">
            <v>0</v>
          </cell>
        </row>
        <row r="133">
          <cell r="E133" t="str">
            <v>민경현</v>
          </cell>
          <cell r="X133">
            <v>54</v>
          </cell>
          <cell r="Y133">
            <v>68</v>
          </cell>
          <cell r="Z133">
            <v>85</v>
          </cell>
          <cell r="AA133">
            <v>79</v>
          </cell>
          <cell r="AB133">
            <v>78</v>
          </cell>
          <cell r="AC133">
            <v>90</v>
          </cell>
          <cell r="AD133">
            <v>7</v>
          </cell>
          <cell r="AE133" t="str">
            <v>물1</v>
          </cell>
          <cell r="AF133" t="str">
            <v>지1</v>
          </cell>
          <cell r="AG133" t="str">
            <v>물2</v>
          </cell>
          <cell r="AH133" t="str">
            <v>지2</v>
          </cell>
          <cell r="AI133">
            <v>3</v>
          </cell>
          <cell r="AJ133">
            <v>3</v>
          </cell>
          <cell r="AK133">
            <v>2</v>
          </cell>
          <cell r="AL133">
            <v>8</v>
          </cell>
          <cell r="AM133">
            <v>2</v>
          </cell>
          <cell r="AN133">
            <v>5</v>
          </cell>
        </row>
        <row r="134">
          <cell r="E134" t="str">
            <v>박성준</v>
          </cell>
          <cell r="X134">
            <v>38</v>
          </cell>
          <cell r="Y134">
            <v>50</v>
          </cell>
          <cell r="Z134">
            <v>71</v>
          </cell>
          <cell r="AA134">
            <v>21</v>
          </cell>
          <cell r="AB134">
            <v>24</v>
          </cell>
          <cell r="AC134">
            <v>31</v>
          </cell>
          <cell r="AD134">
            <v>18</v>
          </cell>
          <cell r="AE134" t="str">
            <v>물1</v>
          </cell>
          <cell r="AF134" t="str">
            <v>화1</v>
          </cell>
          <cell r="AG134" t="str">
            <v>생1</v>
          </cell>
          <cell r="AH134" t="str">
            <v>화2</v>
          </cell>
          <cell r="AI134">
            <v>6</v>
          </cell>
          <cell r="AJ134">
            <v>6</v>
          </cell>
          <cell r="AK134">
            <v>6</v>
          </cell>
          <cell r="AL134">
            <v>7</v>
          </cell>
          <cell r="AM134">
            <v>6</v>
          </cell>
          <cell r="AN134">
            <v>0</v>
          </cell>
        </row>
        <row r="135">
          <cell r="E135" t="str">
            <v>박창훈</v>
          </cell>
          <cell r="X135">
            <v>73</v>
          </cell>
          <cell r="Y135">
            <v>62</v>
          </cell>
          <cell r="Z135">
            <v>89</v>
          </cell>
          <cell r="AA135">
            <v>93</v>
          </cell>
          <cell r="AB135">
            <v>92</v>
          </cell>
          <cell r="AC135">
            <v>67</v>
          </cell>
          <cell r="AD135">
            <v>28</v>
          </cell>
          <cell r="AE135" t="str">
            <v>화1</v>
          </cell>
          <cell r="AF135" t="str">
            <v>생1</v>
          </cell>
          <cell r="AG135" t="str">
            <v>지1</v>
          </cell>
          <cell r="AH135" t="str">
            <v>지2</v>
          </cell>
          <cell r="AI135">
            <v>2</v>
          </cell>
          <cell r="AJ135">
            <v>2</v>
          </cell>
          <cell r="AK135">
            <v>4</v>
          </cell>
          <cell r="AL135">
            <v>6</v>
          </cell>
          <cell r="AM135">
            <v>2</v>
          </cell>
          <cell r="AN135">
            <v>5</v>
          </cell>
        </row>
        <row r="136">
          <cell r="E136" t="str">
            <v>배민희</v>
          </cell>
          <cell r="X136">
            <v>83</v>
          </cell>
          <cell r="Y136">
            <v>76</v>
          </cell>
          <cell r="Z136">
            <v>89</v>
          </cell>
          <cell r="AA136">
            <v>93</v>
          </cell>
          <cell r="AB136">
            <v>87</v>
          </cell>
          <cell r="AC136">
            <v>78</v>
          </cell>
          <cell r="AD136">
            <v>30</v>
          </cell>
          <cell r="AE136" t="str">
            <v>물1</v>
          </cell>
          <cell r="AF136" t="str">
            <v>화1</v>
          </cell>
          <cell r="AG136" t="str">
            <v>물2</v>
          </cell>
          <cell r="AH136" t="str">
            <v>화2</v>
          </cell>
          <cell r="AI136">
            <v>2</v>
          </cell>
          <cell r="AJ136">
            <v>2</v>
          </cell>
          <cell r="AK136">
            <v>3</v>
          </cell>
          <cell r="AL136">
            <v>6</v>
          </cell>
          <cell r="AM136">
            <v>2</v>
          </cell>
          <cell r="AN136">
            <v>5</v>
          </cell>
        </row>
        <row r="137">
          <cell r="E137" t="str">
            <v>서지형</v>
          </cell>
          <cell r="X137">
            <v>61</v>
          </cell>
          <cell r="Y137">
            <v>60</v>
          </cell>
          <cell r="Z137">
            <v>92</v>
          </cell>
          <cell r="AA137">
            <v>69</v>
          </cell>
          <cell r="AB137">
            <v>87</v>
          </cell>
          <cell r="AC137">
            <v>93</v>
          </cell>
          <cell r="AD137">
            <v>60</v>
          </cell>
          <cell r="AE137" t="str">
            <v>화1</v>
          </cell>
          <cell r="AF137" t="str">
            <v>생1</v>
          </cell>
          <cell r="AG137" t="str">
            <v>지1</v>
          </cell>
          <cell r="AH137" t="str">
            <v>생2</v>
          </cell>
          <cell r="AI137">
            <v>4</v>
          </cell>
          <cell r="AJ137">
            <v>3</v>
          </cell>
          <cell r="AK137">
            <v>2</v>
          </cell>
          <cell r="AL137">
            <v>4</v>
          </cell>
          <cell r="AM137">
            <v>2</v>
          </cell>
          <cell r="AN137">
            <v>5</v>
          </cell>
        </row>
        <row r="138">
          <cell r="E138" t="str">
            <v>송영길</v>
          </cell>
          <cell r="X138">
            <v>52</v>
          </cell>
          <cell r="Y138">
            <v>84</v>
          </cell>
          <cell r="Z138">
            <v>63</v>
          </cell>
          <cell r="AA138">
            <v>93</v>
          </cell>
          <cell r="AB138">
            <v>83</v>
          </cell>
          <cell r="AC138">
            <v>98</v>
          </cell>
          <cell r="AD138">
            <v>12</v>
          </cell>
          <cell r="AE138" t="str">
            <v>물1</v>
          </cell>
          <cell r="AF138" t="str">
            <v>생1</v>
          </cell>
          <cell r="AG138" t="str">
            <v>지1</v>
          </cell>
          <cell r="AH138" t="str">
            <v>물2</v>
          </cell>
          <cell r="AI138">
            <v>2</v>
          </cell>
          <cell r="AJ138">
            <v>3</v>
          </cell>
          <cell r="AK138">
            <v>1</v>
          </cell>
          <cell r="AL138">
            <v>7</v>
          </cell>
          <cell r="AM138">
            <v>1</v>
          </cell>
          <cell r="AN138">
            <v>0</v>
          </cell>
        </row>
        <row r="139">
          <cell r="E139" t="str">
            <v>신동렬</v>
          </cell>
          <cell r="X139">
            <v>36</v>
          </cell>
          <cell r="Y139">
            <v>58</v>
          </cell>
          <cell r="Z139">
            <v>89</v>
          </cell>
          <cell r="AA139">
            <v>65</v>
          </cell>
          <cell r="AB139">
            <v>83</v>
          </cell>
          <cell r="AC139">
            <v>94</v>
          </cell>
          <cell r="AD139">
            <v>77</v>
          </cell>
          <cell r="AE139" t="str">
            <v>물1</v>
          </cell>
          <cell r="AF139" t="str">
            <v>화1</v>
          </cell>
          <cell r="AG139" t="str">
            <v>생1</v>
          </cell>
          <cell r="AH139" t="str">
            <v>생2</v>
          </cell>
          <cell r="AI139">
            <v>4</v>
          </cell>
          <cell r="AJ139">
            <v>3</v>
          </cell>
          <cell r="AK139">
            <v>2</v>
          </cell>
          <cell r="AL139">
            <v>3</v>
          </cell>
          <cell r="AM139">
            <v>2</v>
          </cell>
          <cell r="AN139">
            <v>5</v>
          </cell>
        </row>
        <row r="140">
          <cell r="E140" t="str">
            <v>양세진</v>
          </cell>
          <cell r="X140">
            <v>68</v>
          </cell>
          <cell r="Y140">
            <v>54</v>
          </cell>
          <cell r="Z140">
            <v>73</v>
          </cell>
          <cell r="AA140">
            <v>98</v>
          </cell>
          <cell r="AB140">
            <v>81</v>
          </cell>
          <cell r="AC140">
            <v>83</v>
          </cell>
          <cell r="AD140">
            <v>6</v>
          </cell>
          <cell r="AE140" t="str">
            <v>물1</v>
          </cell>
          <cell r="AF140" t="str">
            <v>화1</v>
          </cell>
          <cell r="AG140" t="str">
            <v>생1</v>
          </cell>
          <cell r="AH140" t="str">
            <v>생2</v>
          </cell>
          <cell r="AI140">
            <v>1</v>
          </cell>
          <cell r="AJ140">
            <v>3</v>
          </cell>
          <cell r="AK140">
            <v>3</v>
          </cell>
          <cell r="AL140">
            <v>8</v>
          </cell>
          <cell r="AM140">
            <v>1</v>
          </cell>
          <cell r="AN140">
            <v>0</v>
          </cell>
        </row>
        <row r="141">
          <cell r="E141" t="str">
            <v>이동원1</v>
          </cell>
          <cell r="X141">
            <v>75</v>
          </cell>
          <cell r="Y141">
            <v>68</v>
          </cell>
          <cell r="Z141">
            <v>79</v>
          </cell>
          <cell r="AA141">
            <v>93</v>
          </cell>
          <cell r="AB141">
            <v>97</v>
          </cell>
          <cell r="AC141">
            <v>0</v>
          </cell>
          <cell r="AD141">
            <v>0</v>
          </cell>
          <cell r="AE141" t="str">
            <v>화1</v>
          </cell>
          <cell r="AF141" t="str">
            <v>화2</v>
          </cell>
          <cell r="AG141">
            <v>0</v>
          </cell>
          <cell r="AH141">
            <v>0</v>
          </cell>
          <cell r="AI141">
            <v>2</v>
          </cell>
          <cell r="AJ141">
            <v>1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2">
          <cell r="E142" t="str">
            <v>이상학</v>
          </cell>
          <cell r="X142">
            <v>77</v>
          </cell>
          <cell r="Y142">
            <v>83</v>
          </cell>
          <cell r="Z142">
            <v>48</v>
          </cell>
          <cell r="AA142">
            <v>55</v>
          </cell>
          <cell r="AB142">
            <v>96</v>
          </cell>
          <cell r="AC142">
            <v>90</v>
          </cell>
          <cell r="AD142">
            <v>86</v>
          </cell>
          <cell r="AE142" t="str">
            <v>물1</v>
          </cell>
          <cell r="AF142" t="str">
            <v>화1</v>
          </cell>
          <cell r="AG142" t="str">
            <v>생1</v>
          </cell>
          <cell r="AH142" t="str">
            <v>생2</v>
          </cell>
          <cell r="AI142">
            <v>5</v>
          </cell>
          <cell r="AJ142">
            <v>1</v>
          </cell>
          <cell r="AK142">
            <v>2</v>
          </cell>
          <cell r="AL142">
            <v>3</v>
          </cell>
          <cell r="AM142">
            <v>1</v>
          </cell>
          <cell r="AN142">
            <v>0</v>
          </cell>
        </row>
        <row r="143">
          <cell r="E143" t="str">
            <v>이선정</v>
          </cell>
          <cell r="X143">
            <v>85</v>
          </cell>
          <cell r="Y143">
            <v>46</v>
          </cell>
          <cell r="Z143">
            <v>78</v>
          </cell>
          <cell r="AA143">
            <v>48</v>
          </cell>
          <cell r="AB143">
            <v>59</v>
          </cell>
          <cell r="AC143">
            <v>50</v>
          </cell>
          <cell r="AD143">
            <v>26</v>
          </cell>
          <cell r="AE143" t="str">
            <v>화1</v>
          </cell>
          <cell r="AF143" t="str">
            <v>생1</v>
          </cell>
          <cell r="AG143" t="str">
            <v>지1</v>
          </cell>
          <cell r="AH143" t="str">
            <v>화2</v>
          </cell>
          <cell r="AI143">
            <v>5</v>
          </cell>
          <cell r="AJ143">
            <v>5</v>
          </cell>
          <cell r="AK143">
            <v>5</v>
          </cell>
          <cell r="AL143">
            <v>6</v>
          </cell>
          <cell r="AM143">
            <v>5</v>
          </cell>
          <cell r="AN143">
            <v>0</v>
          </cell>
        </row>
        <row r="144">
          <cell r="E144" t="str">
            <v>이승헌</v>
          </cell>
          <cell r="X144">
            <v>77</v>
          </cell>
          <cell r="Y144">
            <v>52</v>
          </cell>
          <cell r="Z144">
            <v>65</v>
          </cell>
          <cell r="AA144">
            <v>68</v>
          </cell>
          <cell r="AB144">
            <v>69</v>
          </cell>
          <cell r="AC144">
            <v>37</v>
          </cell>
          <cell r="AD144">
            <v>18</v>
          </cell>
          <cell r="AE144" t="str">
            <v>물1</v>
          </cell>
          <cell r="AF144" t="str">
            <v>화1</v>
          </cell>
          <cell r="AG144" t="str">
            <v>생1</v>
          </cell>
          <cell r="AH144" t="str">
            <v>지2</v>
          </cell>
          <cell r="AI144">
            <v>4</v>
          </cell>
          <cell r="AJ144">
            <v>4</v>
          </cell>
          <cell r="AK144">
            <v>6</v>
          </cell>
          <cell r="AL144">
            <v>7</v>
          </cell>
          <cell r="AM144">
            <v>4</v>
          </cell>
          <cell r="AN144">
            <v>2</v>
          </cell>
        </row>
        <row r="145">
          <cell r="E145" t="str">
            <v>이재림</v>
          </cell>
          <cell r="X145">
            <v>63</v>
          </cell>
          <cell r="Y145">
            <v>37</v>
          </cell>
          <cell r="Z145">
            <v>63</v>
          </cell>
          <cell r="AA145">
            <v>60</v>
          </cell>
          <cell r="AB145">
            <v>77</v>
          </cell>
          <cell r="AC145">
            <v>64</v>
          </cell>
          <cell r="AD145">
            <v>77</v>
          </cell>
          <cell r="AE145" t="str">
            <v>화1</v>
          </cell>
          <cell r="AF145" t="str">
            <v>생1</v>
          </cell>
          <cell r="AG145" t="str">
            <v>지1</v>
          </cell>
          <cell r="AH145" t="str">
            <v>생2</v>
          </cell>
          <cell r="AI145">
            <v>4</v>
          </cell>
          <cell r="AJ145">
            <v>3</v>
          </cell>
          <cell r="AK145">
            <v>4</v>
          </cell>
          <cell r="AL145">
            <v>3</v>
          </cell>
          <cell r="AM145">
            <v>3</v>
          </cell>
          <cell r="AN145">
            <v>4</v>
          </cell>
        </row>
        <row r="146">
          <cell r="E146" t="str">
            <v>이재문</v>
          </cell>
          <cell r="X146">
            <v>61</v>
          </cell>
          <cell r="Y146">
            <v>88</v>
          </cell>
          <cell r="Z146">
            <v>76</v>
          </cell>
          <cell r="AA146">
            <v>87</v>
          </cell>
          <cell r="AB146">
            <v>77</v>
          </cell>
          <cell r="AC146">
            <v>96</v>
          </cell>
          <cell r="AD146">
            <v>86</v>
          </cell>
          <cell r="AE146" t="str">
            <v>화1</v>
          </cell>
          <cell r="AF146" t="str">
            <v>생1</v>
          </cell>
          <cell r="AG146" t="str">
            <v>지1</v>
          </cell>
          <cell r="AH146" t="str">
            <v>생2</v>
          </cell>
          <cell r="AI146">
            <v>2</v>
          </cell>
          <cell r="AJ146">
            <v>3</v>
          </cell>
          <cell r="AK146">
            <v>1</v>
          </cell>
          <cell r="AL146">
            <v>3</v>
          </cell>
          <cell r="AM146">
            <v>1</v>
          </cell>
          <cell r="AN146">
            <v>0</v>
          </cell>
        </row>
        <row r="147">
          <cell r="E147" t="str">
            <v>임이랑</v>
          </cell>
          <cell r="X147">
            <v>91</v>
          </cell>
          <cell r="Y147">
            <v>35</v>
          </cell>
          <cell r="Z147">
            <v>93</v>
          </cell>
          <cell r="AA147">
            <v>60</v>
          </cell>
          <cell r="AB147">
            <v>77</v>
          </cell>
          <cell r="AC147">
            <v>86</v>
          </cell>
          <cell r="AD147">
            <v>64</v>
          </cell>
          <cell r="AE147" t="str">
            <v>화1</v>
          </cell>
          <cell r="AF147" t="str">
            <v>생1</v>
          </cell>
          <cell r="AG147" t="str">
            <v>생2</v>
          </cell>
          <cell r="AH147" t="str">
            <v>지2</v>
          </cell>
          <cell r="AI147">
            <v>4</v>
          </cell>
          <cell r="AJ147">
            <v>3</v>
          </cell>
          <cell r="AK147">
            <v>3</v>
          </cell>
          <cell r="AL147">
            <v>4</v>
          </cell>
          <cell r="AM147">
            <v>3</v>
          </cell>
          <cell r="AN147">
            <v>4</v>
          </cell>
        </row>
        <row r="148">
          <cell r="E148" t="str">
            <v>정미영</v>
          </cell>
          <cell r="X148">
            <v>92</v>
          </cell>
          <cell r="Y148">
            <v>79</v>
          </cell>
          <cell r="Z148">
            <v>97</v>
          </cell>
          <cell r="AA148">
            <v>91</v>
          </cell>
          <cell r="AB148">
            <v>83</v>
          </cell>
          <cell r="AC148">
            <v>96</v>
          </cell>
          <cell r="AD148">
            <v>3</v>
          </cell>
          <cell r="AE148" t="str">
            <v>화1</v>
          </cell>
          <cell r="AF148" t="str">
            <v>생1</v>
          </cell>
          <cell r="AG148" t="str">
            <v>생2</v>
          </cell>
          <cell r="AH148" t="str">
            <v>지2</v>
          </cell>
          <cell r="AI148">
            <v>2</v>
          </cell>
          <cell r="AJ148">
            <v>3</v>
          </cell>
          <cell r="AK148">
            <v>1</v>
          </cell>
          <cell r="AL148">
            <v>9</v>
          </cell>
          <cell r="AM148">
            <v>1</v>
          </cell>
          <cell r="AN148">
            <v>0</v>
          </cell>
        </row>
        <row r="149">
          <cell r="E149" t="str">
            <v>정서현</v>
          </cell>
          <cell r="X149">
            <v>95</v>
          </cell>
          <cell r="Y149">
            <v>75</v>
          </cell>
          <cell r="Z149">
            <v>88</v>
          </cell>
          <cell r="AA149">
            <v>31</v>
          </cell>
          <cell r="AB149">
            <v>59</v>
          </cell>
          <cell r="AC149">
            <v>78</v>
          </cell>
          <cell r="AD149">
            <v>43</v>
          </cell>
          <cell r="AE149" t="str">
            <v>화1</v>
          </cell>
          <cell r="AF149" t="str">
            <v>생1</v>
          </cell>
          <cell r="AG149" t="str">
            <v>지1</v>
          </cell>
          <cell r="AH149" t="str">
            <v>생2</v>
          </cell>
          <cell r="AI149">
            <v>6</v>
          </cell>
          <cell r="AJ149">
            <v>5</v>
          </cell>
          <cell r="AK149">
            <v>3</v>
          </cell>
          <cell r="AL149">
            <v>5</v>
          </cell>
          <cell r="AM149">
            <v>3</v>
          </cell>
          <cell r="AN149">
            <v>4</v>
          </cell>
        </row>
        <row r="150">
          <cell r="E150" t="str">
            <v>정승미</v>
          </cell>
          <cell r="X150">
            <v>87</v>
          </cell>
          <cell r="Y150">
            <v>62</v>
          </cell>
          <cell r="Z150">
            <v>87</v>
          </cell>
          <cell r="AA150">
            <v>38</v>
          </cell>
          <cell r="AB150">
            <v>81</v>
          </cell>
          <cell r="AC150">
            <v>64</v>
          </cell>
          <cell r="AD150">
            <v>86</v>
          </cell>
          <cell r="AE150" t="str">
            <v>화1</v>
          </cell>
          <cell r="AF150" t="str">
            <v>생1</v>
          </cell>
          <cell r="AG150" t="str">
            <v>지1</v>
          </cell>
          <cell r="AH150" t="str">
            <v>생2</v>
          </cell>
          <cell r="AI150">
            <v>5</v>
          </cell>
          <cell r="AJ150">
            <v>3</v>
          </cell>
          <cell r="AK150">
            <v>4</v>
          </cell>
          <cell r="AL150">
            <v>3</v>
          </cell>
          <cell r="AM150">
            <v>3</v>
          </cell>
          <cell r="AN150">
            <v>4</v>
          </cell>
        </row>
        <row r="151">
          <cell r="E151" t="str">
            <v>정효빈</v>
          </cell>
          <cell r="X151">
            <v>50</v>
          </cell>
          <cell r="Y151">
            <v>89</v>
          </cell>
          <cell r="Z151">
            <v>85</v>
          </cell>
          <cell r="AA151">
            <v>94</v>
          </cell>
          <cell r="AB151">
            <v>88</v>
          </cell>
          <cell r="AC151">
            <v>0</v>
          </cell>
          <cell r="AD151">
            <v>0</v>
          </cell>
          <cell r="AE151" t="str">
            <v>생1</v>
          </cell>
          <cell r="AF151" t="str">
            <v>지1</v>
          </cell>
          <cell r="AG151">
            <v>0</v>
          </cell>
          <cell r="AH151">
            <v>0</v>
          </cell>
          <cell r="AI151">
            <v>2</v>
          </cell>
          <cell r="AJ151">
            <v>3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</row>
        <row r="152">
          <cell r="E152" t="str">
            <v>조남욱</v>
          </cell>
          <cell r="X152">
            <v>93</v>
          </cell>
          <cell r="Y152">
            <v>76</v>
          </cell>
          <cell r="Z152">
            <v>96</v>
          </cell>
          <cell r="AA152">
            <v>87</v>
          </cell>
          <cell r="AB152">
            <v>85</v>
          </cell>
          <cell r="AC152">
            <v>42</v>
          </cell>
          <cell r="AD152">
            <v>0</v>
          </cell>
          <cell r="AE152" t="str">
            <v>화1</v>
          </cell>
          <cell r="AF152" t="str">
            <v>지1</v>
          </cell>
          <cell r="AG152" t="str">
            <v>화2</v>
          </cell>
          <cell r="AH152">
            <v>0</v>
          </cell>
          <cell r="AI152">
            <v>2</v>
          </cell>
          <cell r="AJ152">
            <v>3</v>
          </cell>
          <cell r="AK152">
            <v>5</v>
          </cell>
          <cell r="AL152">
            <v>0</v>
          </cell>
          <cell r="AM152">
            <v>0</v>
          </cell>
          <cell r="AN152">
            <v>0</v>
          </cell>
        </row>
        <row r="153">
          <cell r="E153" t="str">
            <v>천민지</v>
          </cell>
          <cell r="X153">
            <v>75</v>
          </cell>
          <cell r="Y153">
            <v>68</v>
          </cell>
          <cell r="Z153">
            <v>85</v>
          </cell>
          <cell r="AA153">
            <v>85</v>
          </cell>
          <cell r="AB153">
            <v>81</v>
          </cell>
          <cell r="AC153">
            <v>71</v>
          </cell>
          <cell r="AD153">
            <v>92</v>
          </cell>
          <cell r="AE153" t="str">
            <v>물1</v>
          </cell>
          <cell r="AF153" t="str">
            <v>화1</v>
          </cell>
          <cell r="AG153" t="str">
            <v>생1</v>
          </cell>
          <cell r="AH153" t="str">
            <v>생2</v>
          </cell>
          <cell r="AI153">
            <v>3</v>
          </cell>
          <cell r="AJ153">
            <v>3</v>
          </cell>
          <cell r="AK153">
            <v>4</v>
          </cell>
          <cell r="AL153">
            <v>2</v>
          </cell>
          <cell r="AM153">
            <v>2</v>
          </cell>
          <cell r="AN153">
            <v>5</v>
          </cell>
        </row>
        <row r="154">
          <cell r="E154" t="str">
            <v>최은진</v>
          </cell>
          <cell r="X154">
            <v>91</v>
          </cell>
          <cell r="Y154">
            <v>79</v>
          </cell>
          <cell r="Z154">
            <v>79</v>
          </cell>
          <cell r="AA154">
            <v>71</v>
          </cell>
          <cell r="AB154">
            <v>26</v>
          </cell>
          <cell r="AC154">
            <v>98</v>
          </cell>
          <cell r="AD154">
            <v>95</v>
          </cell>
          <cell r="AE154" t="str">
            <v>물1</v>
          </cell>
          <cell r="AF154" t="str">
            <v>생1</v>
          </cell>
          <cell r="AG154" t="str">
            <v>지1</v>
          </cell>
          <cell r="AH154" t="str">
            <v>지2</v>
          </cell>
          <cell r="AI154">
            <v>4</v>
          </cell>
          <cell r="AJ154">
            <v>6</v>
          </cell>
          <cell r="AK154">
            <v>1</v>
          </cell>
          <cell r="AL154">
            <v>2</v>
          </cell>
          <cell r="AM154">
            <v>1</v>
          </cell>
          <cell r="AN154">
            <v>0</v>
          </cell>
        </row>
        <row r="155">
          <cell r="E155" t="str">
            <v>홍경은</v>
          </cell>
          <cell r="X155">
            <v>26</v>
          </cell>
          <cell r="Y155">
            <v>97</v>
          </cell>
          <cell r="Z155">
            <v>73</v>
          </cell>
          <cell r="AA155">
            <v>41</v>
          </cell>
          <cell r="AB155">
            <v>73</v>
          </cell>
          <cell r="AC155">
            <v>73</v>
          </cell>
          <cell r="AD155">
            <v>30</v>
          </cell>
          <cell r="AE155" t="str">
            <v>물1</v>
          </cell>
          <cell r="AF155" t="str">
            <v>생1</v>
          </cell>
          <cell r="AG155" t="str">
            <v>지1</v>
          </cell>
          <cell r="AH155" t="str">
            <v>물2</v>
          </cell>
          <cell r="AI155">
            <v>5</v>
          </cell>
          <cell r="AJ155">
            <v>4</v>
          </cell>
          <cell r="AK155">
            <v>4</v>
          </cell>
          <cell r="AL155">
            <v>6</v>
          </cell>
          <cell r="AM155">
            <v>4</v>
          </cell>
          <cell r="AN155">
            <v>2</v>
          </cell>
        </row>
        <row r="156">
          <cell r="E156" t="str">
            <v>강민구</v>
          </cell>
          <cell r="X156">
            <v>56</v>
          </cell>
          <cell r="Y156">
            <v>88</v>
          </cell>
          <cell r="Z156">
            <v>63</v>
          </cell>
          <cell r="AA156">
            <v>59</v>
          </cell>
          <cell r="AB156">
            <v>93</v>
          </cell>
          <cell r="AC156">
            <v>66</v>
          </cell>
          <cell r="AD156">
            <v>64</v>
          </cell>
          <cell r="AE156" t="str">
            <v>생1</v>
          </cell>
          <cell r="AF156" t="str">
            <v>지1</v>
          </cell>
          <cell r="AG156" t="str">
            <v>물2</v>
          </cell>
          <cell r="AH156" t="str">
            <v>지2</v>
          </cell>
          <cell r="AI156">
            <v>5</v>
          </cell>
          <cell r="AJ156">
            <v>2</v>
          </cell>
          <cell r="AK156">
            <v>4</v>
          </cell>
          <cell r="AL156">
            <v>4</v>
          </cell>
          <cell r="AM156">
            <v>2</v>
          </cell>
          <cell r="AN156">
            <v>5</v>
          </cell>
        </row>
        <row r="157">
          <cell r="E157" t="str">
            <v>곽재현</v>
          </cell>
          <cell r="X157">
            <v>66</v>
          </cell>
          <cell r="Y157">
            <v>71</v>
          </cell>
          <cell r="Z157">
            <v>70</v>
          </cell>
          <cell r="AA157">
            <v>88</v>
          </cell>
          <cell r="AB157">
            <v>83</v>
          </cell>
          <cell r="AC157">
            <v>91</v>
          </cell>
          <cell r="AD157">
            <v>46</v>
          </cell>
          <cell r="AE157" t="str">
            <v>물1</v>
          </cell>
          <cell r="AF157" t="str">
            <v>생1</v>
          </cell>
          <cell r="AG157" t="str">
            <v>생2</v>
          </cell>
          <cell r="AH157" t="str">
            <v>지2</v>
          </cell>
          <cell r="AI157">
            <v>2</v>
          </cell>
          <cell r="AJ157">
            <v>3</v>
          </cell>
          <cell r="AK157">
            <v>2</v>
          </cell>
          <cell r="AL157">
            <v>5</v>
          </cell>
          <cell r="AM157">
            <v>2</v>
          </cell>
          <cell r="AN157">
            <v>5</v>
          </cell>
        </row>
        <row r="158">
          <cell r="E158" t="str">
            <v>구민석</v>
          </cell>
          <cell r="X158">
            <v>83</v>
          </cell>
          <cell r="Y158">
            <v>34</v>
          </cell>
          <cell r="Z158">
            <v>68</v>
          </cell>
          <cell r="AA158">
            <v>88</v>
          </cell>
          <cell r="AB158">
            <v>77</v>
          </cell>
          <cell r="AC158">
            <v>4</v>
          </cell>
          <cell r="AD158">
            <v>13</v>
          </cell>
          <cell r="AE158" t="str">
            <v>물1</v>
          </cell>
          <cell r="AF158" t="str">
            <v>생1</v>
          </cell>
          <cell r="AG158" t="str">
            <v>물2</v>
          </cell>
          <cell r="AH158" t="str">
            <v>생2</v>
          </cell>
          <cell r="AI158">
            <v>2</v>
          </cell>
          <cell r="AJ158">
            <v>3</v>
          </cell>
          <cell r="AK158">
            <v>8</v>
          </cell>
          <cell r="AL158">
            <v>7</v>
          </cell>
          <cell r="AM158">
            <v>2</v>
          </cell>
          <cell r="AN158">
            <v>5</v>
          </cell>
        </row>
        <row r="159">
          <cell r="E159" t="str">
            <v>권용재</v>
          </cell>
          <cell r="X159">
            <v>96</v>
          </cell>
          <cell r="Y159">
            <v>58</v>
          </cell>
          <cell r="Z159">
            <v>92</v>
          </cell>
          <cell r="AA159">
            <v>81</v>
          </cell>
          <cell r="AB159">
            <v>90</v>
          </cell>
          <cell r="AC159">
            <v>85</v>
          </cell>
          <cell r="AD159">
            <v>50</v>
          </cell>
          <cell r="AE159" t="str">
            <v>화1</v>
          </cell>
          <cell r="AF159" t="str">
            <v>생1</v>
          </cell>
          <cell r="AG159" t="str">
            <v>지1</v>
          </cell>
          <cell r="AH159" t="str">
            <v>지2</v>
          </cell>
          <cell r="AI159">
            <v>3</v>
          </cell>
          <cell r="AJ159">
            <v>2</v>
          </cell>
          <cell r="AK159">
            <v>3</v>
          </cell>
          <cell r="AL159">
            <v>5</v>
          </cell>
          <cell r="AM159">
            <v>2</v>
          </cell>
          <cell r="AN159">
            <v>5</v>
          </cell>
        </row>
        <row r="160">
          <cell r="E160" t="str">
            <v>김병규</v>
          </cell>
          <cell r="X160">
            <v>13</v>
          </cell>
          <cell r="Y160">
            <v>34</v>
          </cell>
          <cell r="Z160">
            <v>75</v>
          </cell>
          <cell r="AA160">
            <v>38</v>
          </cell>
          <cell r="AB160">
            <v>33</v>
          </cell>
          <cell r="AC160">
            <v>0</v>
          </cell>
          <cell r="AD160">
            <v>0</v>
          </cell>
          <cell r="AE160" t="str">
            <v>화1</v>
          </cell>
          <cell r="AF160" t="str">
            <v>지1</v>
          </cell>
          <cell r="AG160">
            <v>0</v>
          </cell>
          <cell r="AH160">
            <v>0</v>
          </cell>
          <cell r="AI160">
            <v>5</v>
          </cell>
          <cell r="AJ160">
            <v>6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</row>
        <row r="161">
          <cell r="E161" t="str">
            <v>김연길</v>
          </cell>
          <cell r="X161">
            <v>70</v>
          </cell>
          <cell r="Y161">
            <v>58</v>
          </cell>
          <cell r="Z161">
            <v>53</v>
          </cell>
          <cell r="AA161">
            <v>88</v>
          </cell>
          <cell r="AB161">
            <v>69</v>
          </cell>
          <cell r="AC161">
            <v>5</v>
          </cell>
          <cell r="AD161">
            <v>12</v>
          </cell>
          <cell r="AE161" t="str">
            <v>물1</v>
          </cell>
          <cell r="AF161" t="str">
            <v>화1</v>
          </cell>
          <cell r="AG161" t="str">
            <v>화2</v>
          </cell>
          <cell r="AH161" t="str">
            <v>지2</v>
          </cell>
          <cell r="AI161">
            <v>2</v>
          </cell>
          <cell r="AJ161">
            <v>4</v>
          </cell>
          <cell r="AK161">
            <v>8</v>
          </cell>
          <cell r="AL161">
            <v>7</v>
          </cell>
          <cell r="AM161">
            <v>2</v>
          </cell>
          <cell r="AN161">
            <v>5</v>
          </cell>
        </row>
        <row r="162">
          <cell r="E162" t="str">
            <v>김연준</v>
          </cell>
          <cell r="X162">
            <v>89</v>
          </cell>
          <cell r="Y162">
            <v>83</v>
          </cell>
          <cell r="Z162">
            <v>76</v>
          </cell>
          <cell r="AA162">
            <v>8</v>
          </cell>
          <cell r="AB162">
            <v>73</v>
          </cell>
          <cell r="AC162">
            <v>70</v>
          </cell>
          <cell r="AD162">
            <v>36</v>
          </cell>
          <cell r="AE162" t="str">
            <v>화1</v>
          </cell>
          <cell r="AF162" t="str">
            <v>생1</v>
          </cell>
          <cell r="AG162" t="str">
            <v>지1</v>
          </cell>
          <cell r="AH162" t="str">
            <v>생2</v>
          </cell>
          <cell r="AI162">
            <v>8</v>
          </cell>
          <cell r="AJ162">
            <v>4</v>
          </cell>
          <cell r="AK162">
            <v>4</v>
          </cell>
          <cell r="AL162">
            <v>6</v>
          </cell>
          <cell r="AM162">
            <v>4</v>
          </cell>
          <cell r="AN162">
            <v>2</v>
          </cell>
        </row>
        <row r="163">
          <cell r="E163" t="str">
            <v>김영준1</v>
          </cell>
          <cell r="X163">
            <v>83</v>
          </cell>
          <cell r="Y163">
            <v>69</v>
          </cell>
          <cell r="Z163">
            <v>68</v>
          </cell>
          <cell r="AA163">
            <v>34</v>
          </cell>
          <cell r="AB163">
            <v>18</v>
          </cell>
          <cell r="AC163">
            <v>93</v>
          </cell>
          <cell r="AD163">
            <v>92</v>
          </cell>
          <cell r="AE163" t="str">
            <v>화1</v>
          </cell>
          <cell r="AF163" t="str">
            <v>생1</v>
          </cell>
          <cell r="AG163" t="str">
            <v>지1</v>
          </cell>
          <cell r="AH163" t="str">
            <v>지2</v>
          </cell>
          <cell r="AI163">
            <v>6</v>
          </cell>
          <cell r="AJ163">
            <v>7</v>
          </cell>
          <cell r="AK163">
            <v>2</v>
          </cell>
          <cell r="AL163">
            <v>2</v>
          </cell>
          <cell r="AM163">
            <v>2</v>
          </cell>
          <cell r="AN163">
            <v>5</v>
          </cell>
        </row>
        <row r="164">
          <cell r="E164" t="str">
            <v>김진곤</v>
          </cell>
          <cell r="X164">
            <v>56</v>
          </cell>
          <cell r="Y164">
            <v>40</v>
          </cell>
          <cell r="Z164">
            <v>61</v>
          </cell>
          <cell r="AA164">
            <v>77</v>
          </cell>
          <cell r="AB164">
            <v>71</v>
          </cell>
          <cell r="AC164">
            <v>30</v>
          </cell>
          <cell r="AD164">
            <v>0</v>
          </cell>
          <cell r="AE164" t="str">
            <v>물1</v>
          </cell>
          <cell r="AF164" t="str">
            <v>생1</v>
          </cell>
          <cell r="AG164" t="str">
            <v>물2</v>
          </cell>
          <cell r="AH164">
            <v>0</v>
          </cell>
          <cell r="AI164">
            <v>3</v>
          </cell>
          <cell r="AJ164">
            <v>4</v>
          </cell>
          <cell r="AK164">
            <v>6</v>
          </cell>
          <cell r="AL164">
            <v>0</v>
          </cell>
          <cell r="AM164">
            <v>0</v>
          </cell>
          <cell r="AN164">
            <v>0</v>
          </cell>
        </row>
        <row r="165">
          <cell r="E165" t="str">
            <v>김혜수1</v>
          </cell>
          <cell r="X165">
            <v>93</v>
          </cell>
          <cell r="Y165">
            <v>58</v>
          </cell>
          <cell r="Z165">
            <v>76</v>
          </cell>
          <cell r="AA165">
            <v>87</v>
          </cell>
          <cell r="AB165">
            <v>56</v>
          </cell>
          <cell r="AC165">
            <v>8</v>
          </cell>
          <cell r="AD165">
            <v>46</v>
          </cell>
          <cell r="AE165" t="str">
            <v>화1</v>
          </cell>
          <cell r="AF165" t="str">
            <v>지1</v>
          </cell>
          <cell r="AG165" t="str">
            <v>화2</v>
          </cell>
          <cell r="AH165" t="str">
            <v>지2</v>
          </cell>
          <cell r="AI165">
            <v>2</v>
          </cell>
          <cell r="AJ165">
            <v>5</v>
          </cell>
          <cell r="AK165">
            <v>8</v>
          </cell>
          <cell r="AL165">
            <v>5</v>
          </cell>
          <cell r="AM165">
            <v>2</v>
          </cell>
          <cell r="AN165">
            <v>5</v>
          </cell>
        </row>
        <row r="166">
          <cell r="E166" t="str">
            <v>남궁혁</v>
          </cell>
          <cell r="X166">
            <v>59</v>
          </cell>
          <cell r="Y166">
            <v>28</v>
          </cell>
          <cell r="Z166">
            <v>55</v>
          </cell>
          <cell r="AA166">
            <v>66</v>
          </cell>
          <cell r="AB166">
            <v>95</v>
          </cell>
          <cell r="AC166">
            <v>28</v>
          </cell>
          <cell r="AD166">
            <v>0</v>
          </cell>
          <cell r="AE166" t="str">
            <v>생1</v>
          </cell>
          <cell r="AF166" t="str">
            <v>지1</v>
          </cell>
          <cell r="AG166" t="str">
            <v>지2</v>
          </cell>
          <cell r="AH166">
            <v>0</v>
          </cell>
          <cell r="AI166">
            <v>4</v>
          </cell>
          <cell r="AJ166">
            <v>2</v>
          </cell>
          <cell r="AK166">
            <v>6</v>
          </cell>
          <cell r="AL166">
            <v>0</v>
          </cell>
          <cell r="AM166">
            <v>0</v>
          </cell>
          <cell r="AN166">
            <v>0</v>
          </cell>
        </row>
        <row r="167">
          <cell r="E167" t="str">
            <v>노경희</v>
          </cell>
          <cell r="X167">
            <v>26</v>
          </cell>
          <cell r="Y167">
            <v>75</v>
          </cell>
          <cell r="Z167">
            <v>44</v>
          </cell>
          <cell r="AA167">
            <v>85</v>
          </cell>
          <cell r="AB167">
            <v>63</v>
          </cell>
          <cell r="AC167">
            <v>66</v>
          </cell>
          <cell r="AD167">
            <v>0</v>
          </cell>
          <cell r="AE167" t="str">
            <v>지1</v>
          </cell>
          <cell r="AF167" t="str">
            <v>물2</v>
          </cell>
          <cell r="AG167" t="str">
            <v>생2</v>
          </cell>
          <cell r="AH167">
            <v>0</v>
          </cell>
          <cell r="AI167">
            <v>3</v>
          </cell>
          <cell r="AJ167">
            <v>4</v>
          </cell>
          <cell r="AK167">
            <v>4</v>
          </cell>
          <cell r="AL167">
            <v>0</v>
          </cell>
          <cell r="AM167">
            <v>0</v>
          </cell>
          <cell r="AN167">
            <v>0</v>
          </cell>
        </row>
        <row r="168">
          <cell r="E168" t="str">
            <v>라선영</v>
          </cell>
          <cell r="X168">
            <v>87</v>
          </cell>
          <cell r="Y168">
            <v>81</v>
          </cell>
          <cell r="Z168">
            <v>87</v>
          </cell>
          <cell r="AA168">
            <v>55</v>
          </cell>
          <cell r="AB168">
            <v>59</v>
          </cell>
          <cell r="AC168">
            <v>57</v>
          </cell>
          <cell r="AD168">
            <v>0</v>
          </cell>
          <cell r="AE168" t="str">
            <v>화1</v>
          </cell>
          <cell r="AF168" t="str">
            <v>생1</v>
          </cell>
          <cell r="AG168" t="str">
            <v>생2</v>
          </cell>
          <cell r="AH168">
            <v>0</v>
          </cell>
          <cell r="AI168">
            <v>5</v>
          </cell>
          <cell r="AJ168">
            <v>5</v>
          </cell>
          <cell r="AK168">
            <v>5</v>
          </cell>
          <cell r="AL168">
            <v>0</v>
          </cell>
          <cell r="AM168">
            <v>0</v>
          </cell>
          <cell r="AN168">
            <v>0</v>
          </cell>
        </row>
        <row r="169">
          <cell r="E169" t="str">
            <v>박문규</v>
          </cell>
          <cell r="X169">
            <v>91</v>
          </cell>
          <cell r="Y169">
            <v>89</v>
          </cell>
          <cell r="Z169">
            <v>94</v>
          </cell>
          <cell r="AA169">
            <v>96</v>
          </cell>
          <cell r="AB169">
            <v>98</v>
          </cell>
          <cell r="AC169">
            <v>90</v>
          </cell>
          <cell r="AD169">
            <v>69</v>
          </cell>
          <cell r="AE169" t="str">
            <v>물1</v>
          </cell>
          <cell r="AF169" t="str">
            <v>화1</v>
          </cell>
          <cell r="AG169" t="str">
            <v>생1</v>
          </cell>
          <cell r="AH169" t="str">
            <v>화2</v>
          </cell>
          <cell r="AI169">
            <v>1</v>
          </cell>
          <cell r="AJ169">
            <v>1</v>
          </cell>
          <cell r="AK169">
            <v>2</v>
          </cell>
          <cell r="AL169">
            <v>4</v>
          </cell>
          <cell r="AM169">
            <v>1</v>
          </cell>
          <cell r="AN169">
            <v>0</v>
          </cell>
        </row>
        <row r="170">
          <cell r="E170" t="str">
            <v>박민근</v>
          </cell>
          <cell r="X170">
            <v>36</v>
          </cell>
          <cell r="Y170">
            <v>86</v>
          </cell>
          <cell r="Z170">
            <v>70</v>
          </cell>
          <cell r="AA170">
            <v>75</v>
          </cell>
          <cell r="AB170">
            <v>87</v>
          </cell>
          <cell r="AC170">
            <v>88</v>
          </cell>
          <cell r="AD170">
            <v>13</v>
          </cell>
          <cell r="AE170" t="str">
            <v>물1</v>
          </cell>
          <cell r="AF170" t="str">
            <v>화1</v>
          </cell>
          <cell r="AG170" t="str">
            <v>물2</v>
          </cell>
          <cell r="AH170" t="str">
            <v>화2</v>
          </cell>
          <cell r="AI170">
            <v>4</v>
          </cell>
          <cell r="AJ170">
            <v>2</v>
          </cell>
          <cell r="AK170">
            <v>3</v>
          </cell>
          <cell r="AL170">
            <v>7</v>
          </cell>
          <cell r="AM170">
            <v>2</v>
          </cell>
          <cell r="AN170">
            <v>5</v>
          </cell>
        </row>
        <row r="171">
          <cell r="E171" t="str">
            <v>박홍관</v>
          </cell>
          <cell r="X171">
            <v>83</v>
          </cell>
          <cell r="Y171">
            <v>73</v>
          </cell>
          <cell r="Z171">
            <v>92</v>
          </cell>
          <cell r="AA171">
            <v>7</v>
          </cell>
          <cell r="AB171">
            <v>87</v>
          </cell>
          <cell r="AC171">
            <v>96</v>
          </cell>
          <cell r="AD171">
            <v>46</v>
          </cell>
          <cell r="AE171" t="str">
            <v>물1</v>
          </cell>
          <cell r="AF171" t="str">
            <v>화1</v>
          </cell>
          <cell r="AG171" t="str">
            <v>생1</v>
          </cell>
          <cell r="AH171" t="str">
            <v>화2</v>
          </cell>
          <cell r="AI171">
            <v>8</v>
          </cell>
          <cell r="AJ171">
            <v>2</v>
          </cell>
          <cell r="AK171">
            <v>1</v>
          </cell>
          <cell r="AL171">
            <v>5</v>
          </cell>
          <cell r="AM171">
            <v>1</v>
          </cell>
          <cell r="AN171">
            <v>0</v>
          </cell>
        </row>
        <row r="172">
          <cell r="E172" t="str">
            <v>배연주</v>
          </cell>
          <cell r="X172">
            <v>73</v>
          </cell>
          <cell r="Y172">
            <v>96</v>
          </cell>
          <cell r="Z172">
            <v>90</v>
          </cell>
          <cell r="AA172">
            <v>73</v>
          </cell>
          <cell r="AB172">
            <v>96</v>
          </cell>
          <cell r="AC172">
            <v>98</v>
          </cell>
          <cell r="AD172">
            <v>95</v>
          </cell>
          <cell r="AE172" t="str">
            <v>화1</v>
          </cell>
          <cell r="AF172" t="str">
            <v>생1</v>
          </cell>
          <cell r="AG172" t="str">
            <v>지1</v>
          </cell>
          <cell r="AH172" t="str">
            <v>생2</v>
          </cell>
          <cell r="AI172">
            <v>4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0</v>
          </cell>
        </row>
        <row r="173">
          <cell r="E173" t="str">
            <v>성준혁</v>
          </cell>
          <cell r="X173">
            <v>54</v>
          </cell>
          <cell r="Y173">
            <v>50</v>
          </cell>
          <cell r="Z173">
            <v>85</v>
          </cell>
          <cell r="AA173">
            <v>75</v>
          </cell>
          <cell r="AB173">
            <v>55</v>
          </cell>
          <cell r="AC173">
            <v>83</v>
          </cell>
          <cell r="AD173">
            <v>35</v>
          </cell>
          <cell r="AE173" t="str">
            <v>화1</v>
          </cell>
          <cell r="AF173" t="str">
            <v>생1</v>
          </cell>
          <cell r="AG173" t="str">
            <v>지1</v>
          </cell>
          <cell r="AH173" t="str">
            <v>지2</v>
          </cell>
          <cell r="AI173">
            <v>4</v>
          </cell>
          <cell r="AJ173">
            <v>5</v>
          </cell>
          <cell r="AK173">
            <v>3</v>
          </cell>
          <cell r="AL173">
            <v>5</v>
          </cell>
          <cell r="AM173">
            <v>3</v>
          </cell>
          <cell r="AN173">
            <v>4</v>
          </cell>
        </row>
        <row r="174">
          <cell r="E174" t="str">
            <v>신정화</v>
          </cell>
          <cell r="X174">
            <v>79</v>
          </cell>
          <cell r="Y174">
            <v>79</v>
          </cell>
          <cell r="Z174">
            <v>81</v>
          </cell>
          <cell r="AA174">
            <v>47</v>
          </cell>
          <cell r="AB174">
            <v>73</v>
          </cell>
          <cell r="AC174">
            <v>66</v>
          </cell>
          <cell r="AD174">
            <v>13</v>
          </cell>
          <cell r="AE174" t="str">
            <v>물1</v>
          </cell>
          <cell r="AF174" t="str">
            <v>화1</v>
          </cell>
          <cell r="AG174" t="str">
            <v>생1</v>
          </cell>
          <cell r="AH174" t="str">
            <v>생2</v>
          </cell>
          <cell r="AI174">
            <v>5</v>
          </cell>
          <cell r="AJ174">
            <v>4</v>
          </cell>
          <cell r="AK174">
            <v>4</v>
          </cell>
          <cell r="AL174">
            <v>7</v>
          </cell>
          <cell r="AM174">
            <v>4</v>
          </cell>
          <cell r="AN174">
            <v>2</v>
          </cell>
        </row>
        <row r="175">
          <cell r="E175" t="str">
            <v>양원준1</v>
          </cell>
          <cell r="X175">
            <v>83</v>
          </cell>
          <cell r="Y175">
            <v>70</v>
          </cell>
          <cell r="Z175">
            <v>73</v>
          </cell>
          <cell r="AA175">
            <v>65</v>
          </cell>
          <cell r="AB175">
            <v>59</v>
          </cell>
          <cell r="AC175">
            <v>75</v>
          </cell>
          <cell r="AD175">
            <v>58</v>
          </cell>
          <cell r="AE175" t="str">
            <v>물1</v>
          </cell>
          <cell r="AF175" t="str">
            <v>생1</v>
          </cell>
          <cell r="AG175" t="str">
            <v>지1</v>
          </cell>
          <cell r="AH175" t="str">
            <v>지2</v>
          </cell>
          <cell r="AI175">
            <v>4</v>
          </cell>
          <cell r="AJ175">
            <v>5</v>
          </cell>
          <cell r="AK175">
            <v>4</v>
          </cell>
          <cell r="AL175">
            <v>4</v>
          </cell>
          <cell r="AM175">
            <v>4</v>
          </cell>
          <cell r="AN175">
            <v>2</v>
          </cell>
        </row>
        <row r="176">
          <cell r="E176" t="str">
            <v>오민기</v>
          </cell>
          <cell r="X176">
            <v>93</v>
          </cell>
          <cell r="Y176">
            <v>86</v>
          </cell>
          <cell r="Z176">
            <v>90</v>
          </cell>
          <cell r="AA176">
            <v>81</v>
          </cell>
          <cell r="AB176">
            <v>83</v>
          </cell>
          <cell r="AC176">
            <v>35</v>
          </cell>
          <cell r="AD176">
            <v>2</v>
          </cell>
          <cell r="AE176" t="str">
            <v>물1</v>
          </cell>
          <cell r="AF176" t="str">
            <v>화1</v>
          </cell>
          <cell r="AG176" t="str">
            <v>물2</v>
          </cell>
          <cell r="AH176" t="str">
            <v>화2</v>
          </cell>
          <cell r="AI176">
            <v>3</v>
          </cell>
          <cell r="AJ176">
            <v>3</v>
          </cell>
          <cell r="AK176">
            <v>6</v>
          </cell>
          <cell r="AL176">
            <v>9</v>
          </cell>
          <cell r="AM176">
            <v>3</v>
          </cell>
          <cell r="AN176">
            <v>4</v>
          </cell>
        </row>
        <row r="177">
          <cell r="E177" t="str">
            <v>이동국</v>
          </cell>
          <cell r="X177">
            <v>95</v>
          </cell>
          <cell r="Y177">
            <v>35</v>
          </cell>
          <cell r="Z177">
            <v>66</v>
          </cell>
          <cell r="AA177">
            <v>66</v>
          </cell>
          <cell r="AB177">
            <v>93</v>
          </cell>
          <cell r="AC177">
            <v>63</v>
          </cell>
          <cell r="AD177">
            <v>42</v>
          </cell>
          <cell r="AE177" t="str">
            <v>생1</v>
          </cell>
          <cell r="AF177" t="str">
            <v>지1</v>
          </cell>
          <cell r="AG177" t="str">
            <v>생2</v>
          </cell>
          <cell r="AH177" t="str">
            <v>지2</v>
          </cell>
          <cell r="AI177">
            <v>4</v>
          </cell>
          <cell r="AJ177">
            <v>2</v>
          </cell>
          <cell r="AK177">
            <v>4</v>
          </cell>
          <cell r="AL177">
            <v>5</v>
          </cell>
          <cell r="AM177">
            <v>2</v>
          </cell>
          <cell r="AN177">
            <v>5</v>
          </cell>
        </row>
        <row r="178">
          <cell r="E178" t="str">
            <v>이성진1</v>
          </cell>
          <cell r="X178">
            <v>89</v>
          </cell>
          <cell r="Y178">
            <v>52</v>
          </cell>
          <cell r="Z178">
            <v>75</v>
          </cell>
          <cell r="AA178">
            <v>93</v>
          </cell>
          <cell r="AB178">
            <v>77</v>
          </cell>
          <cell r="AC178">
            <v>4</v>
          </cell>
          <cell r="AD178">
            <v>80</v>
          </cell>
          <cell r="AE178" t="str">
            <v>화1</v>
          </cell>
          <cell r="AF178" t="str">
            <v>생1</v>
          </cell>
          <cell r="AG178" t="str">
            <v>물2</v>
          </cell>
          <cell r="AH178" t="str">
            <v>화2</v>
          </cell>
          <cell r="AI178">
            <v>2</v>
          </cell>
          <cell r="AJ178">
            <v>3</v>
          </cell>
          <cell r="AK178">
            <v>8</v>
          </cell>
          <cell r="AL178">
            <v>3</v>
          </cell>
          <cell r="AM178">
            <v>2</v>
          </cell>
          <cell r="AN178">
            <v>5</v>
          </cell>
        </row>
        <row r="179">
          <cell r="E179" t="str">
            <v>이정모</v>
          </cell>
          <cell r="X179">
            <v>87</v>
          </cell>
          <cell r="Y179">
            <v>60</v>
          </cell>
          <cell r="Z179">
            <v>88</v>
          </cell>
          <cell r="AA179">
            <v>81</v>
          </cell>
          <cell r="AB179">
            <v>92</v>
          </cell>
          <cell r="AC179">
            <v>33</v>
          </cell>
          <cell r="AD179">
            <v>34</v>
          </cell>
          <cell r="AE179" t="str">
            <v>화1</v>
          </cell>
          <cell r="AF179" t="str">
            <v>생1</v>
          </cell>
          <cell r="AG179" t="str">
            <v>지1</v>
          </cell>
          <cell r="AH179" t="str">
            <v>화2</v>
          </cell>
          <cell r="AI179">
            <v>3</v>
          </cell>
          <cell r="AJ179">
            <v>2</v>
          </cell>
          <cell r="AK179">
            <v>6</v>
          </cell>
          <cell r="AL179">
            <v>6</v>
          </cell>
          <cell r="AM179">
            <v>2</v>
          </cell>
          <cell r="AN179">
            <v>5</v>
          </cell>
        </row>
        <row r="180">
          <cell r="E180" t="str">
            <v>이한준</v>
          </cell>
          <cell r="X180">
            <v>61</v>
          </cell>
          <cell r="Y180">
            <v>83</v>
          </cell>
          <cell r="Z180">
            <v>85</v>
          </cell>
          <cell r="AA180">
            <v>78</v>
          </cell>
          <cell r="AB180">
            <v>63</v>
          </cell>
          <cell r="AC180">
            <v>56</v>
          </cell>
          <cell r="AD180">
            <v>64</v>
          </cell>
          <cell r="AE180" t="str">
            <v>화1</v>
          </cell>
          <cell r="AF180" t="str">
            <v>생1</v>
          </cell>
          <cell r="AG180" t="str">
            <v>지1</v>
          </cell>
          <cell r="AH180" t="str">
            <v>지2</v>
          </cell>
          <cell r="AI180">
            <v>3</v>
          </cell>
          <cell r="AJ180">
            <v>4</v>
          </cell>
          <cell r="AK180">
            <v>5</v>
          </cell>
          <cell r="AL180">
            <v>4</v>
          </cell>
          <cell r="AM180">
            <v>3</v>
          </cell>
          <cell r="AN180">
            <v>4</v>
          </cell>
        </row>
        <row r="181">
          <cell r="E181" t="str">
            <v>임경수</v>
          </cell>
          <cell r="X181">
            <v>59</v>
          </cell>
          <cell r="Y181">
            <v>84</v>
          </cell>
          <cell r="Z181">
            <v>66</v>
          </cell>
          <cell r="AA181">
            <v>68</v>
          </cell>
          <cell r="AB181">
            <v>27</v>
          </cell>
          <cell r="AC181">
            <v>87</v>
          </cell>
          <cell r="AD181">
            <v>83</v>
          </cell>
          <cell r="AE181" t="str">
            <v>물1</v>
          </cell>
          <cell r="AF181" t="str">
            <v>화1</v>
          </cell>
          <cell r="AG181" t="str">
            <v>생1</v>
          </cell>
          <cell r="AH181" t="str">
            <v>지1</v>
          </cell>
          <cell r="AI181">
            <v>4</v>
          </cell>
          <cell r="AJ181">
            <v>6</v>
          </cell>
          <cell r="AK181">
            <v>3</v>
          </cell>
          <cell r="AL181">
            <v>3</v>
          </cell>
          <cell r="AM181">
            <v>3</v>
          </cell>
          <cell r="AN181">
            <v>4</v>
          </cell>
        </row>
        <row r="182">
          <cell r="E182" t="str">
            <v>임태섭</v>
          </cell>
          <cell r="X182">
            <v>89</v>
          </cell>
          <cell r="Y182">
            <v>63</v>
          </cell>
          <cell r="Z182">
            <v>65</v>
          </cell>
          <cell r="AA182">
            <v>55</v>
          </cell>
          <cell r="AB182">
            <v>71</v>
          </cell>
          <cell r="AC182">
            <v>91</v>
          </cell>
          <cell r="AD182">
            <v>0</v>
          </cell>
          <cell r="AE182" t="str">
            <v>물1</v>
          </cell>
          <cell r="AF182" t="str">
            <v>생1</v>
          </cell>
          <cell r="AG182" t="str">
            <v>생2</v>
          </cell>
          <cell r="AH182">
            <v>0</v>
          </cell>
          <cell r="AI182">
            <v>5</v>
          </cell>
          <cell r="AJ182">
            <v>4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</row>
        <row r="183">
          <cell r="E183" t="str">
            <v>정대철</v>
          </cell>
          <cell r="X183">
            <v>89</v>
          </cell>
          <cell r="Y183">
            <v>43</v>
          </cell>
          <cell r="Z183">
            <v>88</v>
          </cell>
          <cell r="AA183">
            <v>78</v>
          </cell>
          <cell r="AB183">
            <v>81</v>
          </cell>
          <cell r="AC183">
            <v>89</v>
          </cell>
          <cell r="AD183">
            <v>0</v>
          </cell>
          <cell r="AE183" t="str">
            <v>화1</v>
          </cell>
          <cell r="AF183" t="str">
            <v>생1</v>
          </cell>
          <cell r="AG183" t="str">
            <v>생2</v>
          </cell>
          <cell r="AH183">
            <v>0</v>
          </cell>
          <cell r="AI183">
            <v>3</v>
          </cell>
          <cell r="AJ183">
            <v>3</v>
          </cell>
          <cell r="AK183">
            <v>2</v>
          </cell>
          <cell r="AL183">
            <v>0</v>
          </cell>
          <cell r="AM183">
            <v>0</v>
          </cell>
          <cell r="AN183">
            <v>0</v>
          </cell>
        </row>
        <row r="184">
          <cell r="E184" t="str">
            <v>조민규</v>
          </cell>
          <cell r="X184">
            <v>89</v>
          </cell>
          <cell r="Y184">
            <v>60</v>
          </cell>
          <cell r="Z184">
            <v>66</v>
          </cell>
          <cell r="AA184">
            <v>90</v>
          </cell>
          <cell r="AB184">
            <v>99</v>
          </cell>
          <cell r="AC184">
            <v>92</v>
          </cell>
          <cell r="AD184">
            <v>62</v>
          </cell>
          <cell r="AE184" t="str">
            <v>생1</v>
          </cell>
          <cell r="AF184" t="str">
            <v>지1</v>
          </cell>
          <cell r="AG184" t="str">
            <v>생2</v>
          </cell>
          <cell r="AH184" t="str">
            <v>지2</v>
          </cell>
          <cell r="AI184">
            <v>2</v>
          </cell>
          <cell r="AJ184">
            <v>1</v>
          </cell>
          <cell r="AK184">
            <v>2</v>
          </cell>
          <cell r="AL184">
            <v>4</v>
          </cell>
          <cell r="AM184">
            <v>1</v>
          </cell>
          <cell r="AN184">
            <v>0</v>
          </cell>
        </row>
        <row r="185">
          <cell r="E185" t="str">
            <v>조소영1</v>
          </cell>
          <cell r="X185">
            <v>93</v>
          </cell>
          <cell r="Y185">
            <v>76</v>
          </cell>
          <cell r="Z185">
            <v>91</v>
          </cell>
          <cell r="AA185">
            <v>62</v>
          </cell>
          <cell r="AB185">
            <v>96</v>
          </cell>
          <cell r="AC185">
            <v>38</v>
          </cell>
          <cell r="AD185">
            <v>91</v>
          </cell>
          <cell r="AE185" t="str">
            <v>화1</v>
          </cell>
          <cell r="AF185" t="str">
            <v>생1</v>
          </cell>
          <cell r="AG185" t="str">
            <v>지1</v>
          </cell>
          <cell r="AH185" t="str">
            <v>생2</v>
          </cell>
          <cell r="AI185">
            <v>4</v>
          </cell>
          <cell r="AJ185">
            <v>1</v>
          </cell>
          <cell r="AK185">
            <v>5</v>
          </cell>
          <cell r="AL185">
            <v>2</v>
          </cell>
          <cell r="AM185">
            <v>1</v>
          </cell>
          <cell r="AN185">
            <v>0</v>
          </cell>
        </row>
        <row r="186">
          <cell r="E186" t="str">
            <v>조우진</v>
          </cell>
          <cell r="X186">
            <v>52</v>
          </cell>
          <cell r="Y186">
            <v>54</v>
          </cell>
          <cell r="Z186">
            <v>91</v>
          </cell>
          <cell r="AA186">
            <v>88</v>
          </cell>
          <cell r="AB186">
            <v>87</v>
          </cell>
          <cell r="AC186">
            <v>92</v>
          </cell>
          <cell r="AD186">
            <v>12</v>
          </cell>
          <cell r="AE186" t="str">
            <v>물1</v>
          </cell>
          <cell r="AF186" t="str">
            <v>화1</v>
          </cell>
          <cell r="AG186" t="str">
            <v>화2</v>
          </cell>
          <cell r="AH186" t="str">
            <v>지2</v>
          </cell>
          <cell r="AI186">
            <v>2</v>
          </cell>
          <cell r="AJ186">
            <v>2</v>
          </cell>
          <cell r="AK186">
            <v>2</v>
          </cell>
          <cell r="AL186">
            <v>7</v>
          </cell>
          <cell r="AM186">
            <v>2</v>
          </cell>
          <cell r="AN186">
            <v>5</v>
          </cell>
        </row>
        <row r="187">
          <cell r="E187" t="str">
            <v>최기훈</v>
          </cell>
          <cell r="X187">
            <v>7</v>
          </cell>
          <cell r="Y187">
            <v>45</v>
          </cell>
          <cell r="Z187">
            <v>53</v>
          </cell>
          <cell r="AA187">
            <v>29</v>
          </cell>
          <cell r="AB187">
            <v>38</v>
          </cell>
          <cell r="AC187">
            <v>68</v>
          </cell>
          <cell r="AD187">
            <v>22</v>
          </cell>
          <cell r="AE187" t="str">
            <v>물1</v>
          </cell>
          <cell r="AF187" t="str">
            <v>화1</v>
          </cell>
          <cell r="AG187" t="str">
            <v>생1</v>
          </cell>
          <cell r="AH187" t="str">
            <v>화2</v>
          </cell>
          <cell r="AI187">
            <v>6</v>
          </cell>
          <cell r="AJ187">
            <v>5</v>
          </cell>
          <cell r="AK187">
            <v>4</v>
          </cell>
          <cell r="AL187">
            <v>6</v>
          </cell>
          <cell r="AM187">
            <v>4</v>
          </cell>
          <cell r="AN187">
            <v>2</v>
          </cell>
        </row>
        <row r="188">
          <cell r="E188" t="str">
            <v>최동열</v>
          </cell>
          <cell r="X188">
            <v>66</v>
          </cell>
          <cell r="Y188">
            <v>62</v>
          </cell>
          <cell r="Z188">
            <v>95</v>
          </cell>
          <cell r="AA188">
            <v>52</v>
          </cell>
          <cell r="AB188">
            <v>26</v>
          </cell>
          <cell r="AC188">
            <v>83</v>
          </cell>
          <cell r="AD188">
            <v>99</v>
          </cell>
          <cell r="AE188" t="str">
            <v>화1</v>
          </cell>
          <cell r="AF188" t="str">
            <v>생1</v>
          </cell>
          <cell r="AG188" t="str">
            <v>지1</v>
          </cell>
          <cell r="AH188" t="str">
            <v>지2</v>
          </cell>
          <cell r="AI188">
            <v>5</v>
          </cell>
          <cell r="AJ188">
            <v>6</v>
          </cell>
          <cell r="AK188">
            <v>3</v>
          </cell>
          <cell r="AL188">
            <v>1</v>
          </cell>
          <cell r="AM188">
            <v>1</v>
          </cell>
          <cell r="AN188">
            <v>0</v>
          </cell>
        </row>
        <row r="189">
          <cell r="E189" t="str">
            <v>최서환</v>
          </cell>
          <cell r="X189">
            <v>50</v>
          </cell>
          <cell r="Y189">
            <v>39</v>
          </cell>
          <cell r="Z189">
            <v>66</v>
          </cell>
          <cell r="AA189">
            <v>64</v>
          </cell>
          <cell r="AB189">
            <v>66</v>
          </cell>
          <cell r="AC189">
            <v>86</v>
          </cell>
          <cell r="AD189">
            <v>7</v>
          </cell>
          <cell r="AE189" t="str">
            <v>화1</v>
          </cell>
          <cell r="AF189" t="str">
            <v>생1</v>
          </cell>
          <cell r="AG189" t="str">
            <v>생2</v>
          </cell>
          <cell r="AH189" t="str">
            <v>지2</v>
          </cell>
          <cell r="AI189">
            <v>4</v>
          </cell>
          <cell r="AJ189">
            <v>4</v>
          </cell>
          <cell r="AK189">
            <v>3</v>
          </cell>
          <cell r="AL189">
            <v>8</v>
          </cell>
          <cell r="AM189">
            <v>3</v>
          </cell>
          <cell r="AN189">
            <v>4</v>
          </cell>
        </row>
        <row r="190">
          <cell r="E190" t="str">
            <v>최하림</v>
          </cell>
          <cell r="X190">
            <v>43</v>
          </cell>
          <cell r="Y190">
            <v>79</v>
          </cell>
          <cell r="Z190">
            <v>88</v>
          </cell>
          <cell r="AA190">
            <v>88</v>
          </cell>
          <cell r="AB190">
            <v>69</v>
          </cell>
          <cell r="AC190">
            <v>56</v>
          </cell>
          <cell r="AD190">
            <v>46</v>
          </cell>
          <cell r="AE190" t="str">
            <v>물1</v>
          </cell>
          <cell r="AF190" t="str">
            <v>화1</v>
          </cell>
          <cell r="AG190" t="str">
            <v>지1</v>
          </cell>
          <cell r="AH190" t="str">
            <v>화2</v>
          </cell>
          <cell r="AI190">
            <v>2</v>
          </cell>
          <cell r="AJ190">
            <v>4</v>
          </cell>
          <cell r="AK190">
            <v>5</v>
          </cell>
          <cell r="AL190">
            <v>5</v>
          </cell>
          <cell r="AM190">
            <v>2</v>
          </cell>
          <cell r="AN190">
            <v>5</v>
          </cell>
        </row>
        <row r="191">
          <cell r="E191" t="str">
            <v>하은지</v>
          </cell>
          <cell r="X191">
            <v>85</v>
          </cell>
          <cell r="Y191">
            <v>34</v>
          </cell>
          <cell r="Z191">
            <v>73</v>
          </cell>
          <cell r="AA191">
            <v>48</v>
          </cell>
          <cell r="AB191">
            <v>77</v>
          </cell>
          <cell r="AC191">
            <v>60</v>
          </cell>
          <cell r="AD191">
            <v>0</v>
          </cell>
          <cell r="AE191" t="str">
            <v>화1</v>
          </cell>
          <cell r="AF191" t="str">
            <v>생1</v>
          </cell>
          <cell r="AG191" t="str">
            <v>지1</v>
          </cell>
          <cell r="AH191">
            <v>0</v>
          </cell>
          <cell r="AI191">
            <v>5</v>
          </cell>
          <cell r="AJ191">
            <v>3</v>
          </cell>
          <cell r="AK191">
            <v>4</v>
          </cell>
          <cell r="AL191">
            <v>0</v>
          </cell>
          <cell r="AM191">
            <v>0</v>
          </cell>
          <cell r="AN191">
            <v>0</v>
          </cell>
        </row>
        <row r="192">
          <cell r="E192" t="str">
            <v>한현경</v>
          </cell>
          <cell r="X192">
            <v>61</v>
          </cell>
          <cell r="Y192">
            <v>45</v>
          </cell>
          <cell r="Z192">
            <v>76</v>
          </cell>
          <cell r="AA192">
            <v>8</v>
          </cell>
          <cell r="AB192">
            <v>46</v>
          </cell>
          <cell r="AC192">
            <v>36</v>
          </cell>
          <cell r="AD192">
            <v>0</v>
          </cell>
          <cell r="AE192" t="str">
            <v>화1</v>
          </cell>
          <cell r="AF192" t="str">
            <v>생1</v>
          </cell>
          <cell r="AG192" t="str">
            <v>생2</v>
          </cell>
          <cell r="AH192">
            <v>0</v>
          </cell>
          <cell r="AI192">
            <v>8</v>
          </cell>
          <cell r="AJ192">
            <v>5</v>
          </cell>
          <cell r="AK192">
            <v>6</v>
          </cell>
          <cell r="AL192">
            <v>0</v>
          </cell>
          <cell r="AM192">
            <v>0</v>
          </cell>
          <cell r="AN192">
            <v>0</v>
          </cell>
        </row>
        <row r="193">
          <cell r="E193" t="str">
            <v>구본영</v>
          </cell>
          <cell r="X193">
            <v>89</v>
          </cell>
          <cell r="Y193">
            <v>58</v>
          </cell>
          <cell r="Z193">
            <v>85</v>
          </cell>
          <cell r="AA193">
            <v>31</v>
          </cell>
          <cell r="AB193">
            <v>90</v>
          </cell>
          <cell r="AC193">
            <v>81</v>
          </cell>
          <cell r="AD193">
            <v>18</v>
          </cell>
          <cell r="AE193" t="str">
            <v>화1</v>
          </cell>
          <cell r="AF193" t="str">
            <v>생1</v>
          </cell>
          <cell r="AG193" t="str">
            <v>생2</v>
          </cell>
          <cell r="AH193" t="str">
            <v>지2</v>
          </cell>
          <cell r="AI193">
            <v>6</v>
          </cell>
          <cell r="AJ193">
            <v>2</v>
          </cell>
          <cell r="AK193">
            <v>3</v>
          </cell>
          <cell r="AL193">
            <v>7</v>
          </cell>
          <cell r="AM193">
            <v>2</v>
          </cell>
          <cell r="AN193">
            <v>5</v>
          </cell>
        </row>
        <row r="194">
          <cell r="E194" t="str">
            <v>권도희</v>
          </cell>
          <cell r="X194">
            <v>75</v>
          </cell>
          <cell r="Y194">
            <v>81</v>
          </cell>
          <cell r="Z194">
            <v>85</v>
          </cell>
          <cell r="AA194">
            <v>77</v>
          </cell>
          <cell r="AB194">
            <v>81</v>
          </cell>
          <cell r="AC194">
            <v>95</v>
          </cell>
          <cell r="AD194">
            <v>50</v>
          </cell>
          <cell r="AE194" t="str">
            <v>물1</v>
          </cell>
          <cell r="AF194" t="str">
            <v>생1</v>
          </cell>
          <cell r="AG194" t="str">
            <v>생2</v>
          </cell>
          <cell r="AH194" t="str">
            <v>지2</v>
          </cell>
          <cell r="AI194">
            <v>3</v>
          </cell>
          <cell r="AJ194">
            <v>3</v>
          </cell>
          <cell r="AK194">
            <v>1</v>
          </cell>
          <cell r="AL194">
            <v>5</v>
          </cell>
          <cell r="AM194">
            <v>1</v>
          </cell>
          <cell r="AN194">
            <v>0</v>
          </cell>
        </row>
        <row r="195">
          <cell r="E195" t="str">
            <v>권순범</v>
          </cell>
          <cell r="X195">
            <v>66</v>
          </cell>
          <cell r="Y195">
            <v>80</v>
          </cell>
          <cell r="Z195">
            <v>65</v>
          </cell>
          <cell r="AA195">
            <v>87</v>
          </cell>
          <cell r="AB195">
            <v>91</v>
          </cell>
          <cell r="AC195">
            <v>43</v>
          </cell>
          <cell r="AD195">
            <v>54</v>
          </cell>
          <cell r="AE195" t="str">
            <v>생1</v>
          </cell>
          <cell r="AF195" t="str">
            <v>지1</v>
          </cell>
          <cell r="AG195" t="str">
            <v>생2</v>
          </cell>
          <cell r="AH195" t="str">
            <v>지2</v>
          </cell>
          <cell r="AI195">
            <v>3</v>
          </cell>
          <cell r="AJ195">
            <v>2</v>
          </cell>
          <cell r="AK195">
            <v>5</v>
          </cell>
          <cell r="AL195">
            <v>5</v>
          </cell>
          <cell r="AM195">
            <v>2</v>
          </cell>
          <cell r="AN195">
            <v>5</v>
          </cell>
        </row>
        <row r="196">
          <cell r="E196" t="str">
            <v>김동준</v>
          </cell>
          <cell r="X196">
            <v>54</v>
          </cell>
          <cell r="Y196">
            <v>23</v>
          </cell>
          <cell r="Z196">
            <v>33</v>
          </cell>
          <cell r="AA196">
            <v>6</v>
          </cell>
          <cell r="AB196">
            <v>51</v>
          </cell>
          <cell r="AC196">
            <v>49</v>
          </cell>
          <cell r="AD196">
            <v>7</v>
          </cell>
          <cell r="AE196" t="str">
            <v>화1</v>
          </cell>
          <cell r="AF196" t="str">
            <v>생1</v>
          </cell>
          <cell r="AG196" t="str">
            <v>생2</v>
          </cell>
          <cell r="AH196" t="str">
            <v>지2</v>
          </cell>
          <cell r="AI196">
            <v>8</v>
          </cell>
          <cell r="AJ196">
            <v>5</v>
          </cell>
          <cell r="AK196">
            <v>5</v>
          </cell>
          <cell r="AL196">
            <v>8</v>
          </cell>
          <cell r="AM196">
            <v>5</v>
          </cell>
          <cell r="AN196">
            <v>0</v>
          </cell>
        </row>
        <row r="197">
          <cell r="E197" t="str">
            <v>김미경</v>
          </cell>
          <cell r="X197">
            <v>34</v>
          </cell>
          <cell r="Y197">
            <v>68</v>
          </cell>
          <cell r="Z197">
            <v>70</v>
          </cell>
          <cell r="AA197">
            <v>38</v>
          </cell>
          <cell r="AB197">
            <v>40</v>
          </cell>
          <cell r="AC197">
            <v>36</v>
          </cell>
          <cell r="AD197">
            <v>84</v>
          </cell>
          <cell r="AE197" t="str">
            <v>화1</v>
          </cell>
          <cell r="AF197" t="str">
            <v>생1</v>
          </cell>
          <cell r="AG197" t="str">
            <v>지1</v>
          </cell>
          <cell r="AH197" t="str">
            <v>지2</v>
          </cell>
          <cell r="AI197">
            <v>5</v>
          </cell>
          <cell r="AJ197">
            <v>5</v>
          </cell>
          <cell r="AK197">
            <v>6</v>
          </cell>
          <cell r="AL197">
            <v>3</v>
          </cell>
          <cell r="AM197">
            <v>3</v>
          </cell>
          <cell r="AN197">
            <v>4</v>
          </cell>
        </row>
        <row r="198">
          <cell r="E198" t="str">
            <v>김세진</v>
          </cell>
          <cell r="X198">
            <v>31</v>
          </cell>
          <cell r="Y198">
            <v>64</v>
          </cell>
          <cell r="Z198">
            <v>70</v>
          </cell>
          <cell r="AA198">
            <v>60</v>
          </cell>
          <cell r="AB198">
            <v>88</v>
          </cell>
          <cell r="AC198">
            <v>60</v>
          </cell>
          <cell r="AD198">
            <v>35</v>
          </cell>
          <cell r="AE198" t="str">
            <v>화1</v>
          </cell>
          <cell r="AF198" t="str">
            <v>지1</v>
          </cell>
          <cell r="AG198" t="str">
            <v>물2</v>
          </cell>
          <cell r="AH198" t="str">
            <v>지2</v>
          </cell>
          <cell r="AI198">
            <v>4</v>
          </cell>
          <cell r="AJ198">
            <v>3</v>
          </cell>
          <cell r="AK198">
            <v>4</v>
          </cell>
          <cell r="AL198">
            <v>5</v>
          </cell>
          <cell r="AM198">
            <v>3</v>
          </cell>
          <cell r="AN198">
            <v>4</v>
          </cell>
        </row>
        <row r="199">
          <cell r="E199" t="str">
            <v>김수환</v>
          </cell>
          <cell r="X199">
            <v>54</v>
          </cell>
          <cell r="Y199">
            <v>54</v>
          </cell>
          <cell r="Z199">
            <v>79</v>
          </cell>
          <cell r="AA199">
            <v>34</v>
          </cell>
          <cell r="AB199">
            <v>77</v>
          </cell>
          <cell r="AC199">
            <v>91</v>
          </cell>
          <cell r="AD199">
            <v>0</v>
          </cell>
          <cell r="AE199" t="str">
            <v>화1</v>
          </cell>
          <cell r="AF199" t="str">
            <v>생1</v>
          </cell>
          <cell r="AG199" t="str">
            <v>지1</v>
          </cell>
          <cell r="AH199">
            <v>0</v>
          </cell>
          <cell r="AI199">
            <v>6</v>
          </cell>
          <cell r="AJ199">
            <v>3</v>
          </cell>
          <cell r="AK199">
            <v>2</v>
          </cell>
          <cell r="AL199">
            <v>0</v>
          </cell>
          <cell r="AM199">
            <v>0</v>
          </cell>
          <cell r="AN199">
            <v>0</v>
          </cell>
        </row>
        <row r="200">
          <cell r="E200" t="str">
            <v>김아롬</v>
          </cell>
          <cell r="X200">
            <v>59</v>
          </cell>
          <cell r="Y200">
            <v>56</v>
          </cell>
          <cell r="Z200">
            <v>60</v>
          </cell>
          <cell r="AA200">
            <v>41</v>
          </cell>
          <cell r="AB200">
            <v>15</v>
          </cell>
          <cell r="AC200">
            <v>38</v>
          </cell>
          <cell r="AD200">
            <v>47</v>
          </cell>
          <cell r="AE200" t="str">
            <v>물1</v>
          </cell>
          <cell r="AF200" t="str">
            <v>화1</v>
          </cell>
          <cell r="AG200" t="str">
            <v>지1</v>
          </cell>
          <cell r="AH200" t="str">
            <v>물2</v>
          </cell>
          <cell r="AI200">
            <v>5</v>
          </cell>
          <cell r="AJ200">
            <v>7</v>
          </cell>
          <cell r="AK200">
            <v>5</v>
          </cell>
          <cell r="AL200">
            <v>5</v>
          </cell>
          <cell r="AM200">
            <v>5</v>
          </cell>
          <cell r="AN200">
            <v>0</v>
          </cell>
        </row>
        <row r="201">
          <cell r="E201" t="str">
            <v>김재호</v>
          </cell>
          <cell r="X201">
            <v>91</v>
          </cell>
          <cell r="Y201">
            <v>99</v>
          </cell>
          <cell r="Z201">
            <v>82</v>
          </cell>
          <cell r="AA201">
            <v>95</v>
          </cell>
          <cell r="AB201">
            <v>69</v>
          </cell>
          <cell r="AC201">
            <v>98</v>
          </cell>
          <cell r="AD201">
            <v>95</v>
          </cell>
          <cell r="AE201" t="str">
            <v>물1</v>
          </cell>
          <cell r="AF201" t="str">
            <v>화1</v>
          </cell>
          <cell r="AG201" t="str">
            <v>생1</v>
          </cell>
          <cell r="AH201" t="str">
            <v>화2</v>
          </cell>
          <cell r="AI201">
            <v>2</v>
          </cell>
          <cell r="AJ201">
            <v>4</v>
          </cell>
          <cell r="AK201">
            <v>1</v>
          </cell>
          <cell r="AL201">
            <v>1</v>
          </cell>
          <cell r="AM201">
            <v>1</v>
          </cell>
          <cell r="AN201">
            <v>0</v>
          </cell>
        </row>
        <row r="202">
          <cell r="E202" t="str">
            <v>김지훈1</v>
          </cell>
          <cell r="X202">
            <v>83</v>
          </cell>
          <cell r="Y202">
            <v>35</v>
          </cell>
          <cell r="Z202">
            <v>66</v>
          </cell>
          <cell r="AA202">
            <v>55</v>
          </cell>
          <cell r="AB202">
            <v>12</v>
          </cell>
          <cell r="AC202">
            <v>63</v>
          </cell>
          <cell r="AD202">
            <v>12</v>
          </cell>
          <cell r="AE202" t="str">
            <v>화1</v>
          </cell>
          <cell r="AF202" t="str">
            <v>생1</v>
          </cell>
          <cell r="AG202" t="str">
            <v>물2</v>
          </cell>
          <cell r="AH202" t="str">
            <v>화2</v>
          </cell>
          <cell r="AI202">
            <v>5</v>
          </cell>
          <cell r="AJ202">
            <v>7</v>
          </cell>
          <cell r="AK202">
            <v>4</v>
          </cell>
          <cell r="AL202">
            <v>7</v>
          </cell>
          <cell r="AM202">
            <v>4</v>
          </cell>
          <cell r="AN202">
            <v>2</v>
          </cell>
        </row>
        <row r="203">
          <cell r="E203" t="str">
            <v>김태완</v>
          </cell>
          <cell r="X203">
            <v>11</v>
          </cell>
          <cell r="Y203">
            <v>70</v>
          </cell>
          <cell r="Z203">
            <v>65</v>
          </cell>
          <cell r="AA203">
            <v>78</v>
          </cell>
          <cell r="AB203">
            <v>77</v>
          </cell>
          <cell r="AC203">
            <v>15</v>
          </cell>
          <cell r="AD203">
            <v>58</v>
          </cell>
          <cell r="AE203" t="str">
            <v>생1</v>
          </cell>
          <cell r="AF203" t="str">
            <v>지1</v>
          </cell>
          <cell r="AG203" t="str">
            <v>생1</v>
          </cell>
          <cell r="AH203" t="str">
            <v>지2</v>
          </cell>
          <cell r="AI203">
            <v>3</v>
          </cell>
          <cell r="AJ203">
            <v>3</v>
          </cell>
          <cell r="AK203">
            <v>7</v>
          </cell>
          <cell r="AL203">
            <v>5</v>
          </cell>
          <cell r="AM203">
            <v>3</v>
          </cell>
          <cell r="AN203">
            <v>4</v>
          </cell>
        </row>
        <row r="204">
          <cell r="E204" t="str">
            <v>류재환</v>
          </cell>
          <cell r="X204">
            <v>41</v>
          </cell>
          <cell r="Y204">
            <v>65</v>
          </cell>
          <cell r="Z204">
            <v>60</v>
          </cell>
          <cell r="AA204">
            <v>49</v>
          </cell>
          <cell r="AB204">
            <v>64</v>
          </cell>
          <cell r="AC204">
            <v>30</v>
          </cell>
          <cell r="AD204">
            <v>5</v>
          </cell>
          <cell r="AE204" t="str">
            <v>생1</v>
          </cell>
          <cell r="AF204" t="str">
            <v>지1</v>
          </cell>
          <cell r="AG204" t="str">
            <v>물2</v>
          </cell>
          <cell r="AH204" t="str">
            <v>지2</v>
          </cell>
          <cell r="AI204">
            <v>5</v>
          </cell>
          <cell r="AJ204">
            <v>4</v>
          </cell>
          <cell r="AK204">
            <v>6</v>
          </cell>
          <cell r="AL204">
            <v>8</v>
          </cell>
          <cell r="AM204">
            <v>4</v>
          </cell>
          <cell r="AN204">
            <v>2</v>
          </cell>
        </row>
        <row r="205">
          <cell r="E205" t="str">
            <v>박근배</v>
          </cell>
          <cell r="X205">
            <v>36</v>
          </cell>
          <cell r="Y205">
            <v>79</v>
          </cell>
          <cell r="Z205">
            <v>75</v>
          </cell>
          <cell r="AA205">
            <v>38</v>
          </cell>
          <cell r="AB205">
            <v>94</v>
          </cell>
          <cell r="AC205">
            <v>67</v>
          </cell>
          <cell r="AD205">
            <v>77</v>
          </cell>
          <cell r="AE205" t="str">
            <v>화1</v>
          </cell>
          <cell r="AF205" t="str">
            <v>생1</v>
          </cell>
          <cell r="AG205" t="str">
            <v>지1</v>
          </cell>
          <cell r="AH205" t="str">
            <v>생2</v>
          </cell>
          <cell r="AI205">
            <v>5</v>
          </cell>
          <cell r="AJ205">
            <v>2</v>
          </cell>
          <cell r="AK205">
            <v>4</v>
          </cell>
          <cell r="AL205">
            <v>3</v>
          </cell>
          <cell r="AM205">
            <v>2</v>
          </cell>
          <cell r="AN205">
            <v>5</v>
          </cell>
        </row>
        <row r="206">
          <cell r="E206" t="str">
            <v>배철효</v>
          </cell>
          <cell r="X206">
            <v>23</v>
          </cell>
          <cell r="Y206">
            <v>68</v>
          </cell>
          <cell r="Z206">
            <v>44</v>
          </cell>
          <cell r="AA206">
            <v>65</v>
          </cell>
          <cell r="AB206">
            <v>10</v>
          </cell>
          <cell r="AC206">
            <v>27</v>
          </cell>
          <cell r="AD206">
            <v>7</v>
          </cell>
          <cell r="AE206" t="str">
            <v>물1</v>
          </cell>
          <cell r="AF206" t="str">
            <v>생1</v>
          </cell>
          <cell r="AG206" t="str">
            <v>지1</v>
          </cell>
          <cell r="AH206" t="str">
            <v>지2</v>
          </cell>
          <cell r="AI206">
            <v>4</v>
          </cell>
          <cell r="AJ206">
            <v>8</v>
          </cell>
          <cell r="AK206">
            <v>6</v>
          </cell>
          <cell r="AL206">
            <v>8</v>
          </cell>
          <cell r="AM206">
            <v>4</v>
          </cell>
          <cell r="AN206">
            <v>2</v>
          </cell>
        </row>
        <row r="207">
          <cell r="E207" t="str">
            <v>서홍진</v>
          </cell>
          <cell r="X207">
            <v>52</v>
          </cell>
          <cell r="Y207">
            <v>83</v>
          </cell>
          <cell r="Z207">
            <v>76</v>
          </cell>
          <cell r="AA207">
            <v>99</v>
          </cell>
          <cell r="AB207">
            <v>96</v>
          </cell>
          <cell r="AC207">
            <v>78</v>
          </cell>
          <cell r="AD207">
            <v>0</v>
          </cell>
          <cell r="AE207" t="str">
            <v>생1</v>
          </cell>
          <cell r="AF207" t="str">
            <v>지1</v>
          </cell>
          <cell r="AG207" t="str">
            <v>지2</v>
          </cell>
          <cell r="AH207">
            <v>0</v>
          </cell>
          <cell r="AI207">
            <v>1</v>
          </cell>
          <cell r="AJ207">
            <v>1</v>
          </cell>
          <cell r="AK207">
            <v>3</v>
          </cell>
          <cell r="AL207">
            <v>0</v>
          </cell>
          <cell r="AM207">
            <v>0</v>
          </cell>
          <cell r="AN207">
            <v>0</v>
          </cell>
        </row>
        <row r="208">
          <cell r="E208" t="str">
            <v>손경흔</v>
          </cell>
          <cell r="X208">
            <v>34</v>
          </cell>
          <cell r="Y208">
            <v>92</v>
          </cell>
          <cell r="Z208">
            <v>99</v>
          </cell>
          <cell r="AA208">
            <v>87</v>
          </cell>
          <cell r="AB208">
            <v>99</v>
          </cell>
          <cell r="AC208">
            <v>86</v>
          </cell>
          <cell r="AD208">
            <v>18</v>
          </cell>
          <cell r="AE208" t="str">
            <v>화1</v>
          </cell>
          <cell r="AF208" t="str">
            <v>생1</v>
          </cell>
          <cell r="AG208" t="str">
            <v>생2</v>
          </cell>
          <cell r="AH208" t="str">
            <v>지2</v>
          </cell>
          <cell r="AI208">
            <v>2</v>
          </cell>
          <cell r="AJ208">
            <v>1</v>
          </cell>
          <cell r="AK208">
            <v>3</v>
          </cell>
          <cell r="AL208">
            <v>7</v>
          </cell>
          <cell r="AM208">
            <v>1</v>
          </cell>
          <cell r="AN208">
            <v>0</v>
          </cell>
        </row>
        <row r="209">
          <cell r="E209" t="str">
            <v>손나영</v>
          </cell>
          <cell r="X209">
            <v>77</v>
          </cell>
          <cell r="Y209">
            <v>71</v>
          </cell>
          <cell r="Z209">
            <v>76</v>
          </cell>
          <cell r="AA209">
            <v>93</v>
          </cell>
          <cell r="AB209">
            <v>90</v>
          </cell>
          <cell r="AC209">
            <v>95</v>
          </cell>
          <cell r="AD209">
            <v>64</v>
          </cell>
          <cell r="AE209" t="str">
            <v>화1</v>
          </cell>
          <cell r="AF209" t="str">
            <v>생1</v>
          </cell>
          <cell r="AG209" t="str">
            <v>지1</v>
          </cell>
          <cell r="AH209" t="str">
            <v>지2</v>
          </cell>
          <cell r="AI209">
            <v>2</v>
          </cell>
          <cell r="AJ209">
            <v>2</v>
          </cell>
          <cell r="AK209">
            <v>2</v>
          </cell>
          <cell r="AL209">
            <v>4</v>
          </cell>
          <cell r="AM209">
            <v>2</v>
          </cell>
          <cell r="AN209">
            <v>5</v>
          </cell>
        </row>
        <row r="210">
          <cell r="E210" t="str">
            <v>송송이</v>
          </cell>
          <cell r="X210">
            <v>61</v>
          </cell>
          <cell r="Y210">
            <v>79</v>
          </cell>
          <cell r="Z210">
            <v>82</v>
          </cell>
          <cell r="AA210">
            <v>50</v>
          </cell>
          <cell r="AB210">
            <v>59</v>
          </cell>
          <cell r="AC210">
            <v>38</v>
          </cell>
          <cell r="AD210">
            <v>46</v>
          </cell>
          <cell r="AE210" t="str">
            <v>화1</v>
          </cell>
          <cell r="AF210" t="str">
            <v>생1</v>
          </cell>
          <cell r="AG210" t="str">
            <v>지1</v>
          </cell>
          <cell r="AH210" t="str">
            <v>생2</v>
          </cell>
          <cell r="AI210">
            <v>5</v>
          </cell>
          <cell r="AJ210">
            <v>5</v>
          </cell>
          <cell r="AK210">
            <v>5</v>
          </cell>
          <cell r="AL210">
            <v>5</v>
          </cell>
          <cell r="AM210">
            <v>5</v>
          </cell>
          <cell r="AN210">
            <v>0</v>
          </cell>
        </row>
        <row r="211">
          <cell r="E211" t="str">
            <v>양지희</v>
          </cell>
          <cell r="X211">
            <v>41</v>
          </cell>
          <cell r="Y211">
            <v>73</v>
          </cell>
          <cell r="Z211">
            <v>53</v>
          </cell>
          <cell r="AA211">
            <v>62</v>
          </cell>
          <cell r="AB211">
            <v>67</v>
          </cell>
          <cell r="AC211">
            <v>5</v>
          </cell>
          <cell r="AD211">
            <v>12</v>
          </cell>
          <cell r="AE211" t="str">
            <v>화1</v>
          </cell>
          <cell r="AF211" t="str">
            <v>지1</v>
          </cell>
          <cell r="AG211" t="str">
            <v>화2</v>
          </cell>
          <cell r="AH211" t="str">
            <v>지2</v>
          </cell>
          <cell r="AI211">
            <v>4</v>
          </cell>
          <cell r="AJ211">
            <v>4</v>
          </cell>
          <cell r="AK211">
            <v>8</v>
          </cell>
          <cell r="AL211">
            <v>7</v>
          </cell>
          <cell r="AM211">
            <v>4</v>
          </cell>
          <cell r="AN211">
            <v>2</v>
          </cell>
        </row>
        <row r="212">
          <cell r="E212" t="str">
            <v>왕준현</v>
          </cell>
          <cell r="X212">
            <v>18</v>
          </cell>
          <cell r="Y212">
            <v>9</v>
          </cell>
          <cell r="Z212">
            <v>89</v>
          </cell>
          <cell r="AA212">
            <v>27</v>
          </cell>
          <cell r="AB212">
            <v>55</v>
          </cell>
          <cell r="AC212">
            <v>19</v>
          </cell>
          <cell r="AD212">
            <v>0</v>
          </cell>
          <cell r="AE212" t="str">
            <v>화1</v>
          </cell>
          <cell r="AF212" t="str">
            <v>생1</v>
          </cell>
          <cell r="AG212" t="str">
            <v>생2</v>
          </cell>
          <cell r="AH212">
            <v>0</v>
          </cell>
          <cell r="AI212">
            <v>6</v>
          </cell>
          <cell r="AJ212">
            <v>5</v>
          </cell>
          <cell r="AK212">
            <v>7</v>
          </cell>
          <cell r="AL212">
            <v>0</v>
          </cell>
          <cell r="AM212">
            <v>0</v>
          </cell>
          <cell r="AN212">
            <v>0</v>
          </cell>
        </row>
        <row r="213">
          <cell r="E213" t="str">
            <v>이가영</v>
          </cell>
          <cell r="X213">
            <v>39</v>
          </cell>
          <cell r="Y213">
            <v>85</v>
          </cell>
          <cell r="Z213">
            <v>60</v>
          </cell>
          <cell r="AA213">
            <v>38</v>
          </cell>
          <cell r="AB213">
            <v>59</v>
          </cell>
          <cell r="AC213">
            <v>33</v>
          </cell>
          <cell r="AD213">
            <v>36</v>
          </cell>
          <cell r="AE213" t="str">
            <v>화1</v>
          </cell>
          <cell r="AF213" t="str">
            <v>생1</v>
          </cell>
          <cell r="AG213" t="str">
            <v>지1</v>
          </cell>
          <cell r="AH213" t="str">
            <v>생2</v>
          </cell>
          <cell r="AI213">
            <v>5</v>
          </cell>
          <cell r="AJ213">
            <v>5</v>
          </cell>
          <cell r="AK213">
            <v>6</v>
          </cell>
          <cell r="AL213">
            <v>6</v>
          </cell>
          <cell r="AM213">
            <v>5</v>
          </cell>
          <cell r="AN213">
            <v>0</v>
          </cell>
        </row>
        <row r="214">
          <cell r="E214" t="str">
            <v>이정훈1</v>
          </cell>
          <cell r="X214">
            <v>87</v>
          </cell>
          <cell r="Y214">
            <v>48</v>
          </cell>
          <cell r="Z214">
            <v>85</v>
          </cell>
          <cell r="AA214">
            <v>81</v>
          </cell>
          <cell r="AB214">
            <v>55</v>
          </cell>
          <cell r="AC214">
            <v>63</v>
          </cell>
          <cell r="AD214">
            <v>35</v>
          </cell>
          <cell r="AE214" t="str">
            <v>물1</v>
          </cell>
          <cell r="AF214" t="str">
            <v>화1</v>
          </cell>
          <cell r="AG214" t="str">
            <v>화2</v>
          </cell>
          <cell r="AH214" t="str">
            <v>지2</v>
          </cell>
          <cell r="AI214">
            <v>3</v>
          </cell>
          <cell r="AJ214">
            <v>5</v>
          </cell>
          <cell r="AK214">
            <v>4</v>
          </cell>
          <cell r="AL214">
            <v>5</v>
          </cell>
          <cell r="AM214">
            <v>3</v>
          </cell>
          <cell r="AN214">
            <v>4</v>
          </cell>
        </row>
        <row r="215">
          <cell r="E215" t="str">
            <v>이지섭</v>
          </cell>
          <cell r="X215">
            <v>75</v>
          </cell>
          <cell r="Y215">
            <v>94</v>
          </cell>
          <cell r="Z215">
            <v>82</v>
          </cell>
          <cell r="AA215">
            <v>83</v>
          </cell>
          <cell r="AB215">
            <v>98</v>
          </cell>
          <cell r="AC215">
            <v>95</v>
          </cell>
          <cell r="AD215">
            <v>46</v>
          </cell>
          <cell r="AE215" t="str">
            <v>화1</v>
          </cell>
          <cell r="AF215" t="str">
            <v>생1</v>
          </cell>
          <cell r="AG215" t="str">
            <v>생2</v>
          </cell>
          <cell r="AH215" t="str">
            <v>지2</v>
          </cell>
          <cell r="AI215">
            <v>3</v>
          </cell>
          <cell r="AJ215">
            <v>1</v>
          </cell>
          <cell r="AK215">
            <v>1</v>
          </cell>
          <cell r="AL215">
            <v>5</v>
          </cell>
          <cell r="AM215">
            <v>1</v>
          </cell>
          <cell r="AN215">
            <v>0</v>
          </cell>
        </row>
        <row r="216">
          <cell r="E216" t="str">
            <v>이지연</v>
          </cell>
          <cell r="X216">
            <v>48</v>
          </cell>
          <cell r="Y216">
            <v>43</v>
          </cell>
          <cell r="Z216">
            <v>82</v>
          </cell>
          <cell r="AA216">
            <v>71</v>
          </cell>
          <cell r="AB216">
            <v>55</v>
          </cell>
          <cell r="AC216">
            <v>21</v>
          </cell>
          <cell r="AD216">
            <v>69</v>
          </cell>
          <cell r="AE216" t="str">
            <v>물1</v>
          </cell>
          <cell r="AF216" t="str">
            <v>화1</v>
          </cell>
          <cell r="AG216" t="str">
            <v>생1</v>
          </cell>
          <cell r="AH216" t="str">
            <v>생2</v>
          </cell>
          <cell r="AI216">
            <v>4</v>
          </cell>
          <cell r="AJ216">
            <v>5</v>
          </cell>
          <cell r="AK216">
            <v>7</v>
          </cell>
          <cell r="AL216">
            <v>4</v>
          </cell>
          <cell r="AM216">
            <v>4</v>
          </cell>
          <cell r="AN216">
            <v>2</v>
          </cell>
        </row>
        <row r="217">
          <cell r="E217" t="str">
            <v>이학준</v>
          </cell>
          <cell r="X217">
            <v>56</v>
          </cell>
          <cell r="Y217">
            <v>76</v>
          </cell>
          <cell r="Z217">
            <v>76</v>
          </cell>
          <cell r="AA217">
            <v>27</v>
          </cell>
          <cell r="AB217">
            <v>56</v>
          </cell>
          <cell r="AC217">
            <v>86</v>
          </cell>
          <cell r="AD217">
            <v>0</v>
          </cell>
          <cell r="AE217" t="str">
            <v>화1</v>
          </cell>
          <cell r="AF217" t="str">
            <v>지1</v>
          </cell>
          <cell r="AG217" t="str">
            <v>지2</v>
          </cell>
          <cell r="AH217">
            <v>0</v>
          </cell>
          <cell r="AI217">
            <v>6</v>
          </cell>
          <cell r="AJ217">
            <v>5</v>
          </cell>
          <cell r="AK217">
            <v>3</v>
          </cell>
          <cell r="AL217">
            <v>0</v>
          </cell>
          <cell r="AM217">
            <v>0</v>
          </cell>
          <cell r="AN217">
            <v>0</v>
          </cell>
        </row>
        <row r="218">
          <cell r="E218" t="str">
            <v>임기림</v>
          </cell>
          <cell r="X218">
            <v>52</v>
          </cell>
          <cell r="Y218">
            <v>46</v>
          </cell>
          <cell r="Z218">
            <v>61</v>
          </cell>
          <cell r="AA218">
            <v>52</v>
          </cell>
          <cell r="AB218">
            <v>73</v>
          </cell>
          <cell r="AC218">
            <v>53</v>
          </cell>
          <cell r="AD218">
            <v>65</v>
          </cell>
          <cell r="AE218" t="str">
            <v>화1</v>
          </cell>
          <cell r="AF218" t="str">
            <v>생1</v>
          </cell>
          <cell r="AG218" t="str">
            <v>지1</v>
          </cell>
          <cell r="AH218" t="str">
            <v>생2</v>
          </cell>
          <cell r="AI218">
            <v>5</v>
          </cell>
          <cell r="AJ218">
            <v>4</v>
          </cell>
          <cell r="AK218">
            <v>5</v>
          </cell>
          <cell r="AL218">
            <v>4</v>
          </cell>
          <cell r="AM218">
            <v>4</v>
          </cell>
          <cell r="AN218">
            <v>2</v>
          </cell>
        </row>
        <row r="219">
          <cell r="E219" t="str">
            <v>정병준</v>
          </cell>
          <cell r="X219">
            <v>36</v>
          </cell>
          <cell r="Y219">
            <v>33</v>
          </cell>
          <cell r="Z219">
            <v>61</v>
          </cell>
          <cell r="AA219">
            <v>62</v>
          </cell>
          <cell r="AB219">
            <v>83</v>
          </cell>
          <cell r="AC219">
            <v>53</v>
          </cell>
          <cell r="AD219">
            <v>23</v>
          </cell>
          <cell r="AE219" t="str">
            <v>화1</v>
          </cell>
          <cell r="AF219" t="str">
            <v>생1</v>
          </cell>
          <cell r="AG219" t="str">
            <v>물2</v>
          </cell>
          <cell r="AH219" t="str">
            <v>지2</v>
          </cell>
          <cell r="AI219">
            <v>4</v>
          </cell>
          <cell r="AJ219">
            <v>3</v>
          </cell>
          <cell r="AK219">
            <v>5</v>
          </cell>
          <cell r="AL219">
            <v>6</v>
          </cell>
          <cell r="AM219">
            <v>3</v>
          </cell>
          <cell r="AN219">
            <v>4</v>
          </cell>
        </row>
        <row r="220">
          <cell r="E220" t="str">
            <v>조경욱</v>
          </cell>
          <cell r="X220">
            <v>68</v>
          </cell>
          <cell r="Y220">
            <v>65</v>
          </cell>
          <cell r="Z220">
            <v>78</v>
          </cell>
          <cell r="AA220">
            <v>58</v>
          </cell>
          <cell r="AB220">
            <v>78</v>
          </cell>
          <cell r="AC220">
            <v>77</v>
          </cell>
          <cell r="AD220">
            <v>89</v>
          </cell>
          <cell r="AE220" t="str">
            <v>물1</v>
          </cell>
          <cell r="AF220" t="str">
            <v>화1</v>
          </cell>
          <cell r="AG220" t="str">
            <v>생1</v>
          </cell>
          <cell r="AH220" t="str">
            <v>화2</v>
          </cell>
          <cell r="AI220">
            <v>5</v>
          </cell>
          <cell r="AJ220">
            <v>3</v>
          </cell>
          <cell r="AK220">
            <v>3</v>
          </cell>
          <cell r="AL220">
            <v>2</v>
          </cell>
          <cell r="AM220">
            <v>2</v>
          </cell>
          <cell r="AN220">
            <v>5</v>
          </cell>
        </row>
        <row r="221">
          <cell r="E221" t="str">
            <v>조재민</v>
          </cell>
          <cell r="X221">
            <v>34</v>
          </cell>
          <cell r="Y221">
            <v>45</v>
          </cell>
          <cell r="Z221">
            <v>50</v>
          </cell>
          <cell r="AA221">
            <v>55</v>
          </cell>
          <cell r="AB221">
            <v>85</v>
          </cell>
          <cell r="AC221">
            <v>88</v>
          </cell>
          <cell r="AD221">
            <v>10</v>
          </cell>
          <cell r="AE221" t="str">
            <v>물1</v>
          </cell>
          <cell r="AF221" t="str">
            <v>생1</v>
          </cell>
          <cell r="AG221" t="str">
            <v>지1</v>
          </cell>
          <cell r="AH221" t="str">
            <v>생2</v>
          </cell>
          <cell r="AI221">
            <v>5</v>
          </cell>
          <cell r="AJ221">
            <v>3</v>
          </cell>
          <cell r="AK221">
            <v>3</v>
          </cell>
          <cell r="AL221">
            <v>7</v>
          </cell>
          <cell r="AM221">
            <v>3</v>
          </cell>
          <cell r="AN221">
            <v>4</v>
          </cell>
        </row>
        <row r="222">
          <cell r="E222" t="str">
            <v>조정빈</v>
          </cell>
          <cell r="X222">
            <v>89</v>
          </cell>
          <cell r="Y222">
            <v>41</v>
          </cell>
          <cell r="Z222">
            <v>88</v>
          </cell>
          <cell r="AA222">
            <v>93</v>
          </cell>
          <cell r="AB222">
            <v>77</v>
          </cell>
          <cell r="AC222">
            <v>86</v>
          </cell>
          <cell r="AD222">
            <v>12</v>
          </cell>
          <cell r="AE222" t="str">
            <v>화1</v>
          </cell>
          <cell r="AF222" t="str">
            <v>생1</v>
          </cell>
          <cell r="AG222" t="str">
            <v>생2</v>
          </cell>
          <cell r="AH222" t="str">
            <v>지2</v>
          </cell>
          <cell r="AI222">
            <v>2</v>
          </cell>
          <cell r="AJ222">
            <v>3</v>
          </cell>
          <cell r="AK222">
            <v>3</v>
          </cell>
          <cell r="AL222">
            <v>7</v>
          </cell>
          <cell r="AM222">
            <v>2</v>
          </cell>
          <cell r="AN222">
            <v>5</v>
          </cell>
        </row>
        <row r="223">
          <cell r="E223" t="str">
            <v>조준표</v>
          </cell>
          <cell r="X223">
            <v>54</v>
          </cell>
          <cell r="Y223">
            <v>45</v>
          </cell>
          <cell r="Z223">
            <v>58</v>
          </cell>
          <cell r="AA223">
            <v>73</v>
          </cell>
          <cell r="AB223">
            <v>50</v>
          </cell>
          <cell r="AC223">
            <v>13</v>
          </cell>
          <cell r="AD223">
            <v>70</v>
          </cell>
          <cell r="AE223" t="str">
            <v>화1</v>
          </cell>
          <cell r="AF223" t="str">
            <v>지1</v>
          </cell>
          <cell r="AG223" t="str">
            <v>화2</v>
          </cell>
          <cell r="AH223" t="str">
            <v>지2</v>
          </cell>
          <cell r="AI223">
            <v>4</v>
          </cell>
          <cell r="AJ223">
            <v>5</v>
          </cell>
          <cell r="AK223">
            <v>7</v>
          </cell>
          <cell r="AL223">
            <v>4</v>
          </cell>
          <cell r="AM223">
            <v>4</v>
          </cell>
          <cell r="AN223">
            <v>2</v>
          </cell>
        </row>
        <row r="224">
          <cell r="E224" t="str">
            <v>최수완</v>
          </cell>
          <cell r="X224">
            <v>66</v>
          </cell>
          <cell r="Y224">
            <v>37</v>
          </cell>
          <cell r="Z224">
            <v>73</v>
          </cell>
          <cell r="AA224">
            <v>43</v>
          </cell>
          <cell r="AB224">
            <v>85</v>
          </cell>
          <cell r="AC224">
            <v>30</v>
          </cell>
          <cell r="AD224">
            <v>86</v>
          </cell>
          <cell r="AE224" t="str">
            <v>화1</v>
          </cell>
          <cell r="AF224" t="str">
            <v>생1</v>
          </cell>
          <cell r="AG224" t="str">
            <v>지1</v>
          </cell>
          <cell r="AH224" t="str">
            <v>생2</v>
          </cell>
          <cell r="AI224">
            <v>5</v>
          </cell>
          <cell r="AJ224">
            <v>3</v>
          </cell>
          <cell r="AK224">
            <v>6</v>
          </cell>
          <cell r="AL224">
            <v>3</v>
          </cell>
          <cell r="AM224">
            <v>3</v>
          </cell>
          <cell r="AN224">
            <v>4</v>
          </cell>
        </row>
        <row r="225">
          <cell r="E225" t="str">
            <v>허성만</v>
          </cell>
          <cell r="X225">
            <v>46</v>
          </cell>
          <cell r="Y225">
            <v>50</v>
          </cell>
          <cell r="Z225">
            <v>73</v>
          </cell>
          <cell r="AA225">
            <v>87</v>
          </cell>
          <cell r="AB225">
            <v>96</v>
          </cell>
          <cell r="AC225">
            <v>22</v>
          </cell>
          <cell r="AD225">
            <v>41</v>
          </cell>
          <cell r="AE225" t="str">
            <v>화1</v>
          </cell>
          <cell r="AF225" t="str">
            <v>생1</v>
          </cell>
          <cell r="AG225" t="str">
            <v>지1</v>
          </cell>
          <cell r="AH225" t="str">
            <v>생2</v>
          </cell>
          <cell r="AI225">
            <v>2</v>
          </cell>
          <cell r="AJ225">
            <v>1</v>
          </cell>
          <cell r="AK225">
            <v>6</v>
          </cell>
          <cell r="AL225">
            <v>5</v>
          </cell>
          <cell r="AM225">
            <v>1</v>
          </cell>
          <cell r="AN225">
            <v>0</v>
          </cell>
        </row>
        <row r="226">
          <cell r="E226" t="str">
            <v>홍기원</v>
          </cell>
          <cell r="X226">
            <v>31</v>
          </cell>
          <cell r="Y226">
            <v>39</v>
          </cell>
          <cell r="Z226">
            <v>58</v>
          </cell>
          <cell r="AA226">
            <v>65</v>
          </cell>
          <cell r="AB226">
            <v>81</v>
          </cell>
          <cell r="AC226">
            <v>85</v>
          </cell>
          <cell r="AD226">
            <v>53</v>
          </cell>
          <cell r="AE226" t="str">
            <v>물1</v>
          </cell>
          <cell r="AF226" t="str">
            <v>생1</v>
          </cell>
          <cell r="AG226" t="str">
            <v>지1</v>
          </cell>
          <cell r="AH226" t="str">
            <v>물2</v>
          </cell>
          <cell r="AI226">
            <v>4</v>
          </cell>
          <cell r="AJ226">
            <v>3</v>
          </cell>
          <cell r="AK226">
            <v>3</v>
          </cell>
          <cell r="AL226">
            <v>5</v>
          </cell>
          <cell r="AM226">
            <v>3</v>
          </cell>
          <cell r="AN226">
            <v>4</v>
          </cell>
        </row>
        <row r="227">
          <cell r="E227" t="str">
            <v>정주희1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74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U9" sqref="AU9"/>
    </sheetView>
  </sheetViews>
  <sheetFormatPr defaultRowHeight="13.5"/>
  <cols>
    <col min="1" max="1" width="2" style="7" customWidth="1"/>
    <col min="2" max="2" width="8.140625" style="7" customWidth="1"/>
    <col min="3" max="3" width="8.140625" style="8" customWidth="1"/>
    <col min="4" max="6" width="12" style="7" customWidth="1"/>
    <col min="7" max="11" width="6.5703125" style="7" customWidth="1"/>
    <col min="12" max="12" width="2" style="7" customWidth="1"/>
    <col min="13" max="41" width="9.140625" style="7" hidden="1" customWidth="1"/>
    <col min="42" max="42" width="9.140625" style="7" customWidth="1"/>
    <col min="43" max="16384" width="9.140625" style="7"/>
  </cols>
  <sheetData>
    <row r="1" spans="1:51" ht="29.25" customHeight="1" thickBot="1">
      <c r="A1" s="1348"/>
      <c r="B1" s="1351" t="s">
        <v>165</v>
      </c>
      <c r="C1" s="1351"/>
      <c r="D1" s="1351"/>
      <c r="E1" s="1351"/>
      <c r="F1" s="1351"/>
      <c r="G1" s="1351"/>
      <c r="H1" s="1351"/>
      <c r="I1" s="1351"/>
      <c r="J1" s="1351"/>
      <c r="K1" s="1351"/>
      <c r="L1" s="1348"/>
      <c r="M1" s="65"/>
      <c r="N1" s="65"/>
      <c r="O1" s="65"/>
      <c r="P1" s="65"/>
      <c r="Q1" s="65"/>
      <c r="R1" s="65"/>
      <c r="S1" s="65"/>
      <c r="AP1" s="67" t="s">
        <v>66</v>
      </c>
      <c r="AQ1" s="843" t="s">
        <v>328</v>
      </c>
      <c r="AR1" s="843" t="s">
        <v>329</v>
      </c>
      <c r="AS1" s="843" t="s">
        <v>330</v>
      </c>
    </row>
    <row r="2" spans="1:51" ht="18" customHeight="1" thickBot="1">
      <c r="A2" s="1348"/>
      <c r="B2" s="1356" t="s">
        <v>0</v>
      </c>
      <c r="C2" s="1370" t="s">
        <v>18</v>
      </c>
      <c r="D2" s="1358" t="s">
        <v>1</v>
      </c>
      <c r="E2" s="1360" t="s">
        <v>2</v>
      </c>
      <c r="F2" s="1362" t="s">
        <v>3</v>
      </c>
      <c r="G2" s="1364" t="s">
        <v>4</v>
      </c>
      <c r="H2" s="1365"/>
      <c r="I2" s="1365"/>
      <c r="J2" s="1365"/>
      <c r="K2" s="1370" t="s">
        <v>131</v>
      </c>
      <c r="L2" s="1348"/>
      <c r="M2" s="65"/>
      <c r="N2" s="65"/>
      <c r="O2" s="65"/>
      <c r="P2" s="65"/>
      <c r="Q2" s="65"/>
      <c r="R2" s="65"/>
      <c r="S2" s="65"/>
      <c r="AP2" s="14">
        <v>139</v>
      </c>
      <c r="AQ2" s="14">
        <v>153</v>
      </c>
      <c r="AR2" s="14">
        <v>147</v>
      </c>
      <c r="AS2" s="14">
        <v>141</v>
      </c>
    </row>
    <row r="3" spans="1:51" ht="18" customHeight="1" thickBot="1">
      <c r="A3" s="1348"/>
      <c r="B3" s="1357"/>
      <c r="C3" s="1371"/>
      <c r="D3" s="1359"/>
      <c r="E3" s="1361"/>
      <c r="F3" s="1363"/>
      <c r="G3" s="1234" t="s">
        <v>472</v>
      </c>
      <c r="H3" s="1234" t="s">
        <v>475</v>
      </c>
      <c r="I3" s="1234" t="s">
        <v>474</v>
      </c>
      <c r="J3" s="1234" t="s">
        <v>477</v>
      </c>
      <c r="K3" s="1371"/>
      <c r="L3" s="1348"/>
      <c r="M3" s="65"/>
      <c r="N3" s="65"/>
      <c r="O3" s="65"/>
      <c r="P3" s="65"/>
      <c r="Q3" s="65"/>
      <c r="R3" s="65"/>
      <c r="S3" s="65"/>
      <c r="AR3" s="1399" t="s">
        <v>515</v>
      </c>
      <c r="AS3" s="1400"/>
      <c r="AT3" s="1400"/>
      <c r="AU3" s="1400"/>
      <c r="AV3" s="1401"/>
      <c r="AW3"/>
      <c r="AX3"/>
      <c r="AY3"/>
    </row>
    <row r="4" spans="1:51" ht="26.25" customHeight="1" thickBot="1">
      <c r="A4" s="1348"/>
      <c r="B4" s="1368"/>
      <c r="C4" s="11" t="s">
        <v>16</v>
      </c>
      <c r="D4" s="1215">
        <v>120</v>
      </c>
      <c r="E4" s="1216">
        <v>110</v>
      </c>
      <c r="F4" s="1217">
        <v>121</v>
      </c>
      <c r="G4" s="1218">
        <v>63</v>
      </c>
      <c r="H4" s="1218">
        <v>61</v>
      </c>
      <c r="I4" s="1218">
        <v>62</v>
      </c>
      <c r="J4" s="1219">
        <v>36</v>
      </c>
      <c r="K4" s="1380" t="s">
        <v>470</v>
      </c>
      <c r="L4" s="1348"/>
      <c r="M4" s="63"/>
      <c r="N4" s="63"/>
      <c r="O4" s="63"/>
      <c r="P4" s="63"/>
      <c r="Q4" s="63"/>
      <c r="R4" s="63"/>
      <c r="S4" s="63"/>
      <c r="AP4" s="1284" t="s">
        <v>468</v>
      </c>
      <c r="AQ4" s="1285"/>
      <c r="AR4" s="1402"/>
      <c r="AS4" s="1403"/>
      <c r="AT4" s="1403"/>
      <c r="AU4" s="1403"/>
      <c r="AV4" s="1404"/>
      <c r="AW4"/>
      <c r="AX4"/>
      <c r="AY4"/>
    </row>
    <row r="5" spans="1:51" s="8" customFormat="1" ht="26.25" customHeight="1" thickBot="1">
      <c r="A5" s="1348"/>
      <c r="B5" s="1369"/>
      <c r="C5" s="12" t="s">
        <v>17</v>
      </c>
      <c r="D5" s="1220">
        <v>83</v>
      </c>
      <c r="E5" s="1221">
        <v>65</v>
      </c>
      <c r="F5" s="1222">
        <v>82</v>
      </c>
      <c r="G5" s="1223">
        <v>87</v>
      </c>
      <c r="H5" s="1223">
        <v>83</v>
      </c>
      <c r="I5" s="1223">
        <v>83</v>
      </c>
      <c r="J5" s="1223">
        <v>3</v>
      </c>
      <c r="K5" s="1381"/>
      <c r="L5" s="1348"/>
      <c r="M5" s="63"/>
      <c r="N5" s="63"/>
      <c r="O5" s="63"/>
      <c r="P5" s="63"/>
      <c r="Q5" s="63"/>
      <c r="R5" s="63"/>
      <c r="S5" s="63"/>
      <c r="AP5" s="1385" t="s">
        <v>455</v>
      </c>
      <c r="AQ5" s="1386"/>
      <c r="AR5" s="1402"/>
      <c r="AS5" s="1403"/>
      <c r="AT5" s="1403"/>
      <c r="AU5" s="1403"/>
      <c r="AV5" s="1404"/>
      <c r="AW5"/>
      <c r="AX5"/>
      <c r="AY5"/>
    </row>
    <row r="6" spans="1:51" s="6" customFormat="1" ht="26.25" customHeight="1" thickBot="1">
      <c r="A6" s="1348"/>
      <c r="B6" s="1352" t="s">
        <v>5</v>
      </c>
      <c r="C6" s="1353"/>
      <c r="D6" s="1354"/>
      <c r="E6" s="1355" t="s">
        <v>6</v>
      </c>
      <c r="F6" s="1354"/>
      <c r="G6" s="1364" t="s">
        <v>334</v>
      </c>
      <c r="H6" s="1366"/>
      <c r="I6" s="1367"/>
      <c r="J6" s="1364" t="s">
        <v>333</v>
      </c>
      <c r="K6" s="1367"/>
      <c r="L6" s="1348"/>
      <c r="M6" s="64"/>
      <c r="N6" s="64"/>
      <c r="O6" s="64"/>
      <c r="P6" s="64"/>
      <c r="Q6" s="64"/>
      <c r="R6" s="64"/>
      <c r="S6" s="64"/>
      <c r="AP6" s="1387"/>
      <c r="AQ6" s="1388"/>
      <c r="AR6" s="1402"/>
      <c r="AS6" s="1403"/>
      <c r="AT6" s="1405"/>
      <c r="AU6" s="1405"/>
      <c r="AV6" s="1406"/>
      <c r="AW6" s="64"/>
      <c r="AX6" s="64"/>
    </row>
    <row r="7" spans="1:51" s="116" customFormat="1" ht="20.100000000000001" customHeight="1" thickBot="1">
      <c r="A7" s="1348"/>
      <c r="B7" s="1374" t="s">
        <v>63</v>
      </c>
      <c r="C7" s="1375"/>
      <c r="D7" s="1376"/>
      <c r="E7" s="1294" t="str">
        <f t="shared" ref="E7:E13" si="0">IF(OR(B7="한양대",B7="중앙대",B7="동국대1"),"가군전체",IF(OR(B7="중앙대1",B7="건국대1",B7="동국대5"),"나군전체",IF(OR(B7="한양대1"),"가군우선,나군전체",IF(B7="이화여대2","수학교육",IF(B7="이화여대3","과학교육",IF(B7="이화여대4","간호,식품,보건",IF(B7="성균관대2","가군우선,나군우선",IF(B7="성균관대3","반도체,소프트웨어",IF(B7="경희대2","지리,식품,간호",IF(B7="경희대국제1","공대,주요학부",IF(B7="경희대국제2","식품,부수학부",IF(B7="건국대","다군전체",IF(B7="동국대2","가군가정교육",IF(B7="동국대3","가군컴공,정통,멀티",IF(B7="동국대4","가군바이오시스템",IF(B7="동국대6","나군가정교육",IF(B7="동국대7","나군컴공,정통,멀티",IF(B7="동국대8","나군바이오시스템",IF(B7="홍익대1","가군",IF(B7="홍익대2","나군(수교제외)",IF(B7="홍익대3","다군",IF(B7="숙명여대","가군",IF(B7="숙명여대1","나,다군",IF(B7="국민대","가군전체",IF(B7="국민대1","다군전체",IF(B7="숭실대2","수학과",IF(B7="세종대2","자연과학",IF(B7="단국대1","다)자연,화학,파이버,건축공",IF(B7="단국대2","다)정보통계,건축학",IF(B7="단국대3","다)사범,기타공대",IF(B7="단국대4","나)자연,화학,파이버,건축공",IF(B7="단국대5","나)정보통계,건축학",IF(B7="단국대6","나)사범,기타공대",IF(B7="인하대2","생활,간호,건축",IF(B7="인하대3","기초의과학부",IF(B7="아주대1","가)자연1,사과,e비즈",IF(B7="아주대2","가)자연2",IF(B7="아주대3","가우선,다)자연1,사과,e비즈",IF(B7="아주대4","가우선,다)자연2",IF(B7="한성대","가군전체",IF(B7="한성대1","다군전체",IF(B7="외대용인2","수학과",IF(B7="삼육대1","가군전체",IF(B7="삼육대2","가군기초의약과학",IF(B7="삼육대3","다군공대",IF(B7="삼육대4","다군기초의약과학",IF(B7="광운대1","수학,전자물리,화학",IF(B7="광운대2","건축",IF(B7="광운대3","기타전체",IF(B7="상명대2","의류,외식,소비자주거",IF(B7="가톨릭2","간호",IF(B7="가톨릭3","전체-가군우선,다군",IF(B7="가톨릭4","간호-가군우선,나군","전체")))))))))))))))))))))))))))))))))))))))))))))))))))))</f>
        <v>전체</v>
      </c>
      <c r="F7" s="1295"/>
      <c r="G7" s="1377">
        <f>VLOOKUP($B7,계산도구!$A$2:$G$527,4,FALSE)+VLOOKUP($B7,계산도구!$A$2:$G$527,5,FALSE)+VLOOKUP($B7,계산도구!$A$2:$G$527,6,FALSE)+VLOOKUP($B7,계산도구!$A$2:$G$527,7,FALSE)</f>
        <v>489.93</v>
      </c>
      <c r="H7" s="1378"/>
      <c r="I7" s="1379"/>
      <c r="J7" s="1372" t="str">
        <f t="shared" ref="J7:J70" si="1">IF(OR(B7="항공대"),G7*10/6,IF(OR(B7="상명대1",B7="상명대2"),G7*10/9,IF(OR(B7="한양대1",B7="중앙대1",B7="건국대1",B7="동국대5",B7="동국대6",B7="동국대7",B7="동국대8",B7="홍익대2",B7="홍익대3",B7="숙명여대1",B7="국민대1",B7="단국대4",B7="단국대5",B7="단국대6",B7="아주대3",B7="아주대4",B7="한성대1",B7="삼육대3",B7="삼육대4",B7="가톨릭3",B7="가톨릭4"),"수능100%","+학생부")))</f>
        <v>+학생부</v>
      </c>
      <c r="K7" s="1373"/>
      <c r="L7" s="1348"/>
      <c r="AP7" s="1389" t="s">
        <v>479</v>
      </c>
      <c r="AQ7" s="1390"/>
      <c r="AR7" s="1390" t="s">
        <v>480</v>
      </c>
      <c r="AS7" s="1398"/>
    </row>
    <row r="8" spans="1:51" ht="20.100000000000001" customHeight="1">
      <c r="A8" s="1348"/>
      <c r="B8" s="1333" t="s">
        <v>469</v>
      </c>
      <c r="C8" s="1334"/>
      <c r="D8" s="1335"/>
      <c r="E8" s="1276" t="str">
        <f t="shared" si="0"/>
        <v>전체</v>
      </c>
      <c r="F8" s="1277"/>
      <c r="G8" s="1278">
        <f>VLOOKUP($B8,계산도구!$A$2:$G$527,4,FALSE)+VLOOKUP($B8,계산도구!$A$2:$G$527,5,FALSE)+VLOOKUP($B8,계산도구!$A$2:$G$527,6,FALSE)+VLOOKUP($B8,계산도구!$A$2:$G$527,7,FALSE)</f>
        <v>297.23750000000001</v>
      </c>
      <c r="H8" s="1279"/>
      <c r="I8" s="1280"/>
      <c r="J8" s="1271" t="str">
        <f t="shared" si="1"/>
        <v>+학생부</v>
      </c>
      <c r="K8" s="1272"/>
      <c r="L8" s="1348"/>
      <c r="M8" s="65"/>
      <c r="N8" s="65"/>
      <c r="O8" s="65"/>
      <c r="P8" s="63"/>
      <c r="Q8" s="63"/>
      <c r="R8" s="63"/>
      <c r="S8" s="33"/>
      <c r="AP8" s="1226" t="s">
        <v>481</v>
      </c>
      <c r="AQ8" s="1225" t="s">
        <v>471</v>
      </c>
      <c r="AR8" s="1224" t="s">
        <v>482</v>
      </c>
      <c r="AS8" s="1233" t="s">
        <v>483</v>
      </c>
    </row>
    <row r="9" spans="1:51" ht="20.100000000000001" customHeight="1">
      <c r="A9" s="1348"/>
      <c r="B9" s="1273" t="s">
        <v>9</v>
      </c>
      <c r="C9" s="1288"/>
      <c r="D9" s="1275"/>
      <c r="E9" s="1276" t="str">
        <f t="shared" si="0"/>
        <v>전체</v>
      </c>
      <c r="F9" s="1277"/>
      <c r="G9" s="1278">
        <f>VLOOKUP($B9,계산도구!$A$2:$G$527,4,FALSE)+VLOOKUP($B9,계산도구!$A$2:$G$527,5,FALSE)+VLOOKUP($B9,계산도구!$A$2:$G$527,6,FALSE)+VLOOKUP($B9,계산도구!$A$2:$G$527,7,FALSE)</f>
        <v>407.80396948972151</v>
      </c>
      <c r="H9" s="1279"/>
      <c r="I9" s="1280"/>
      <c r="J9" s="1271" t="str">
        <f t="shared" si="1"/>
        <v>+학생부</v>
      </c>
      <c r="K9" s="1272"/>
      <c r="L9" s="1348"/>
      <c r="M9" s="66"/>
      <c r="N9" s="66"/>
      <c r="O9" s="66"/>
      <c r="P9" s="63"/>
      <c r="Q9" s="63"/>
      <c r="R9" s="63"/>
      <c r="S9" s="34"/>
      <c r="AP9" s="1226" t="s">
        <v>484</v>
      </c>
      <c r="AQ9" s="1225" t="s">
        <v>472</v>
      </c>
      <c r="AR9" s="1224" t="s">
        <v>485</v>
      </c>
      <c r="AS9" s="1233" t="s">
        <v>486</v>
      </c>
    </row>
    <row r="10" spans="1:51" ht="20.100000000000001" customHeight="1">
      <c r="A10" s="1348"/>
      <c r="B10" s="1273" t="s">
        <v>67</v>
      </c>
      <c r="C10" s="1288"/>
      <c r="D10" s="1275"/>
      <c r="E10" s="1276" t="str">
        <f t="shared" si="0"/>
        <v>전체</v>
      </c>
      <c r="F10" s="1277"/>
      <c r="G10" s="1278">
        <f>VLOOKUP($B10,계산도구!$A$2:$G$527,4,FALSE)+VLOOKUP($B10,계산도구!$A$2:$G$527,5,FALSE)+VLOOKUP($B10,계산도구!$A$2:$G$527,6,FALSE)+VLOOKUP($B10,계산도구!$A$2:$G$527,7,FALSE)</f>
        <v>473.72</v>
      </c>
      <c r="H10" s="1279"/>
      <c r="I10" s="1280"/>
      <c r="J10" s="1271" t="str">
        <f t="shared" si="1"/>
        <v>+학생부</v>
      </c>
      <c r="K10" s="1272"/>
      <c r="L10" s="1348"/>
      <c r="M10" s="65"/>
      <c r="N10" s="65"/>
      <c r="O10" s="65"/>
      <c r="P10" s="63"/>
      <c r="Q10" s="63"/>
      <c r="R10" s="63"/>
      <c r="S10" s="34"/>
      <c r="AP10" s="1226" t="s">
        <v>487</v>
      </c>
      <c r="AQ10" s="1225" t="s">
        <v>473</v>
      </c>
      <c r="AR10" s="1224" t="s">
        <v>488</v>
      </c>
      <c r="AS10" s="1227"/>
    </row>
    <row r="11" spans="1:51" ht="20.100000000000001" customHeight="1">
      <c r="A11" s="1348"/>
      <c r="B11" s="1273" t="s">
        <v>220</v>
      </c>
      <c r="C11" s="1288"/>
      <c r="D11" s="1275"/>
      <c r="E11" s="1276" t="str">
        <f t="shared" si="0"/>
        <v>전체</v>
      </c>
      <c r="F11" s="1277"/>
      <c r="G11" s="1278">
        <f>VLOOKUP($B11,계산도구!$A$2:$G$527,4,FALSE)+VLOOKUP($B11,계산도구!$A$2:$G$527,5,FALSE)+VLOOKUP($B11,계산도구!$A$2:$G$527,6,FALSE)+VLOOKUP($B11,계산도구!$A$2:$G$527,7,FALSE)</f>
        <v>416.13249999999999</v>
      </c>
      <c r="H11" s="1279"/>
      <c r="I11" s="1280"/>
      <c r="J11" s="1271" t="str">
        <f t="shared" si="1"/>
        <v>+학생부</v>
      </c>
      <c r="K11" s="1272"/>
      <c r="L11" s="1348"/>
      <c r="M11" s="63"/>
      <c r="N11" s="63"/>
      <c r="O11" s="63"/>
      <c r="P11" s="63"/>
      <c r="Q11" s="63"/>
      <c r="R11" s="63"/>
      <c r="S11" s="34"/>
      <c r="AP11" s="1226" t="s">
        <v>489</v>
      </c>
      <c r="AQ11" s="1225" t="s">
        <v>475</v>
      </c>
      <c r="AR11" s="1224"/>
      <c r="AS11" s="1228"/>
    </row>
    <row r="12" spans="1:51" s="612" customFormat="1" ht="20.100000000000001" customHeight="1">
      <c r="A12" s="1348"/>
      <c r="B12" s="1273" t="s">
        <v>221</v>
      </c>
      <c r="C12" s="1288"/>
      <c r="D12" s="1275"/>
      <c r="E12" s="1276" t="str">
        <f>IF(OR(B12="한양대",B12="중앙대",B12="동국대1"),"가군전체",IF(OR(B12="중앙대1",B12="건국대1",B12="동국대5"),"나군전체",IF(OR(B12="한양대1"),"가군우선,나군전체",IF(B12="이화여대2","수학교육",IF(B12="이화여대3","과학교육",IF(B12="이화여대4","간호,식품,보건",IF(B12="성균관대2","가군우선,나군우선",IF(B12="성균관대3","반도체,소프트웨어",IF(B12="경희대2","지리,식품,간호",IF(B12="경희대국제1","공대,주요학부",IF(B12="경희대국제2","식품,부수학부",IF(B12="건국대","다군전체",IF(B12="동국대2","가군가정교육",IF(B12="동국대3","가군컴공,정통,멀티",IF(B12="동국대4","가군바이오시스템",IF(B12="동국대6","나군가정교육",IF(B12="동국대7","나군컴공,정통,멀티",IF(B12="동국대8","나군바이오시스템",IF(B12="홍익대1","가군",IF(B12="홍익대2","나군(수교제외)",IF(B12="홍익대3","다군",IF(B12="숙명여대","가군",IF(B12="숙명여대1","나,다군",IF(B12="국민대","가군전체",IF(B12="국민대1","다군전체",IF(B12="숭실대2","수학과",IF(B12="세종대2","자연과학",IF(B12="단국대1","다)자연,화학,파이버,건축공",IF(B12="단국대2","다)정보통계,건축학",IF(B12="단국대3","다)사범,기타공대",IF(B12="단국대4","나)자연,화학,파이버,건축공",IF(B12="단국대5","나)정보통계,건축학",IF(B12="단국대6","나)사범,기타공대",IF(B12="인하대2","생활,간호,건축",IF(B12="인하대3","기초의과학부",IF(B12="아주대1","가)자연1,사과,e비즈",IF(B12="아주대2","가)자연2",IF(B12="아주대3","가우선,다)자연1,사과,e비즈",IF(B12="아주대4","가우선,다)자연2",IF(B12="한성대","가군전체",IF(B12="한성대1","다군전체",IF(B12="외대용인2","수학과",IF(B12="삼육대1","가군전체",IF(B12="삼육대2","가군기초의약과학",IF(B12="삼육대3","다군공대",IF(B12="삼육대4","다군기초의약과학",IF(B12="광운대1","수학,전자물리,화학",IF(B12="광운대2","건축",IF(B12="광운대3","기타전체",IF(B12="상명대2","의류,외식,소비자주거",IF(B12="가톨릭2","간호",IF(B12="가톨릭3","전체-가군우선,다군",IF(B12="가톨릭4","간호-가군우선,나군","전체")))))))))))))))))))))))))))))))))))))))))))))))))))))</f>
        <v>가군우선,나군우선</v>
      </c>
      <c r="F12" s="1277"/>
      <c r="G12" s="1278">
        <f>VLOOKUP($B12,계산도구!$A$2:$G$527,4,FALSE)+VLOOKUP($B12,계산도구!$A$2:$G$527,5,FALSE)+VLOOKUP($B12,계산도구!$A$2:$G$527,6,FALSE)+VLOOKUP($B12,계산도구!$A$2:$G$527,7,FALSE)</f>
        <v>589.125</v>
      </c>
      <c r="H12" s="1279"/>
      <c r="I12" s="1280"/>
      <c r="J12" s="1271" t="str">
        <f t="shared" si="1"/>
        <v>+학생부</v>
      </c>
      <c r="K12" s="1272"/>
      <c r="L12" s="1348"/>
      <c r="S12" s="34"/>
      <c r="AP12" s="1226" t="s">
        <v>490</v>
      </c>
      <c r="AQ12" s="1225" t="s">
        <v>476</v>
      </c>
      <c r="AR12" s="1224"/>
      <c r="AS12" s="1228"/>
    </row>
    <row r="13" spans="1:51" ht="20.100000000000001" customHeight="1">
      <c r="A13" s="1348"/>
      <c r="B13" s="1273" t="s">
        <v>68</v>
      </c>
      <c r="C13" s="1288"/>
      <c r="D13" s="1275"/>
      <c r="E13" s="1276" t="str">
        <f t="shared" si="0"/>
        <v>가군전체</v>
      </c>
      <c r="F13" s="1277"/>
      <c r="G13" s="1278">
        <f>VLOOKUP($B13,계산도구!$A$2:$G$527,4,FALSE)+VLOOKUP($B13,계산도구!$A$2:$G$527,5,FALSE)+VLOOKUP($B13,계산도구!$A$2:$G$527,6,FALSE)+VLOOKUP($B13,계산도구!$A$2:$G$527,7,FALSE)</f>
        <v>578.37930412869378</v>
      </c>
      <c r="H13" s="1279"/>
      <c r="I13" s="1280"/>
      <c r="J13" s="1271" t="str">
        <f t="shared" si="1"/>
        <v>+학생부</v>
      </c>
      <c r="K13" s="1272"/>
      <c r="L13" s="1348"/>
      <c r="M13" s="65"/>
      <c r="N13" s="65"/>
      <c r="O13" s="65"/>
      <c r="P13" s="65"/>
      <c r="Q13" s="63"/>
      <c r="R13" s="63"/>
      <c r="S13" s="34"/>
      <c r="AP13" s="1226" t="s">
        <v>491</v>
      </c>
      <c r="AQ13" s="1225" t="s">
        <v>474</v>
      </c>
      <c r="AR13" s="1224"/>
      <c r="AS13" s="1227"/>
    </row>
    <row r="14" spans="1:51" s="1206" customFormat="1" ht="20.100000000000001" customHeight="1">
      <c r="A14" s="1348"/>
      <c r="B14" s="1273" t="s">
        <v>436</v>
      </c>
      <c r="C14" s="1288"/>
      <c r="D14" s="1275"/>
      <c r="E14" s="1276" t="str">
        <f>IF(OR(B14="한양대",B14="중앙대",B14="동국대1"),"가군전체",IF(OR(B14="중앙대1",B14="건국대1",B14="동국대5"),"나군전체",IF(OR(B14="한양대1"),"가군우선,나군전체",IF(B14="이화여대2","수학교육",IF(B14="이화여대3","과학교육",IF(B14="이화여대4","간호,식품,보건",IF(B14="성균관대2","가군우선,나군우선",IF(B14="성균관대3","반도체,소프트웨어",IF(B14="경희대2","지리,식품,간호",IF(B14="경희대국제1","공대,주요학부",IF(B14="경희대국제2","식품,부수학부",IF(B14="건국대","다군전체",IF(B14="동국대2","가군가정교육",IF(B14="동국대3","가군컴공,정통,멀티",IF(B14="동국대4","가군바이오시스템",IF(B14="동국대6","나군가정교육",IF(B14="동국대7","나군컴공,정통,멀티",IF(B14="동국대8","나군바이오시스템",IF(B14="홍익대1","가군",IF(B14="홍익대2","나군(수교제외)",IF(B14="홍익대3","다군",IF(B14="숙명여대","가군",IF(B14="숙명여대1","나,다군",IF(B14="국민대","가군전체",IF(B14="국민대1","다군전체",IF(B14="숭실대2","수학과",IF(B14="세종대2","자연과학",IF(B14="단국대1","다)자연,화학,파이버,건축공",IF(B14="단국대2","다)정보통계,건축학",IF(B14="단국대3","다)사범,기타공대",IF(B14="단국대4","나)자연,화학,파이버,건축공",IF(B14="단국대5","나)정보통계,건축학",IF(B14="단국대6","나)사범,기타공대",IF(B14="인하대2","생활,간호,건축",IF(B14="인하대3","기초의과학부",IF(B14="아주대1","가)자연1,사과,e비즈",IF(B14="아주대2","가)자연2",IF(B14="아주대3","가우선,다)자연1,사과,e비즈",IF(B14="아주대4","가우선,다)자연2",IF(B14="한성대","가군전체",IF(B14="한성대1","다군전체",IF(B14="외대용인2","수학과",IF(B14="삼육대1","가군전체",IF(B14="삼육대2","가군기초의약과학",IF(B14="삼육대3","다군공대",IF(B14="삼육대4","다군기초의약과학",IF(B14="광운대1","수학,전자물리,화학",IF(B14="광운대2","건축",IF(B14="광운대3","기타전체",IF(B14="상명대2","의류,외식,소비자주거",IF(B14="가톨릭2","간호",IF(B14="가톨릭3","전체-가군우선,다군",IF(B14="가톨릭4","간호-가군우선,나군","전체")))))))))))))))))))))))))))))))))))))))))))))))))))))</f>
        <v>가군우선,나군전체</v>
      </c>
      <c r="F14" s="1277"/>
      <c r="G14" s="1278">
        <f>G13*10/7</f>
        <v>826.25614875527674</v>
      </c>
      <c r="H14" s="1279"/>
      <c r="I14" s="1280"/>
      <c r="J14" s="1271" t="str">
        <f t="shared" si="1"/>
        <v>수능100%</v>
      </c>
      <c r="K14" s="1272"/>
      <c r="L14" s="1348"/>
      <c r="M14" s="65"/>
      <c r="N14" s="65"/>
      <c r="O14" s="65"/>
      <c r="P14" s="65"/>
      <c r="S14" s="34"/>
      <c r="AP14" s="1226" t="s">
        <v>492</v>
      </c>
      <c r="AQ14" s="1225" t="s">
        <v>477</v>
      </c>
      <c r="AR14" s="1224"/>
      <c r="AS14" s="1227"/>
    </row>
    <row r="15" spans="1:51" ht="20.100000000000001" customHeight="1" thickBot="1">
      <c r="A15" s="1348"/>
      <c r="B15" s="1273" t="s">
        <v>10</v>
      </c>
      <c r="C15" s="1288"/>
      <c r="D15" s="1275"/>
      <c r="E15" s="1276" t="str">
        <f t="shared" ref="E15:E74" si="2">IF(OR(B15="한양대",B15="중앙대",B15="동국대1"),"가군전체",IF(OR(B15="중앙대1",B15="건국대1",B15="동국대5"),"나군전체",IF(OR(B15="한양대1"),"가군우선,나군전체",IF(B15="이화여대2","수학교육",IF(B15="이화여대3","과학교육",IF(B15="이화여대4","간호,식품,보건",IF(B15="성균관대2","가군우선,나군우선",IF(B15="성균관대3","반도체,소프트웨어",IF(B15="경희대2","지리,식품,간호",IF(B15="경희대국제1","공대,주요학부",IF(B15="경희대국제2","식품,부수학부",IF(B15="건국대","다군전체",IF(B15="동국대2","가군가정교육",IF(B15="동국대3","가군컴공,정통,멀티",IF(B15="동국대4","가군바이오시스템",IF(B15="동국대6","나군가정교육",IF(B15="동국대7","나군컴공,정통,멀티",IF(B15="동국대8","나군바이오시스템",IF(B15="홍익대1","가군",IF(B15="홍익대2","나군(수교제외)",IF(B15="홍익대3","다군",IF(B15="숙명여대","가군",IF(B15="숙명여대1","나,다군",IF(B15="국민대","가군전체",IF(B15="국민대1","다군전체",IF(B15="숭실대2","수학과",IF(B15="세종대2","자연과학",IF(B15="단국대1","다)자연,화학,파이버,건축공",IF(B15="단국대2","다)정보통계,건축학",IF(B15="단국대3","다)사범,기타공대",IF(B15="단국대4","나)자연,화학,파이버,건축공",IF(B15="단국대5","나)정보통계,건축학",IF(B15="단국대6","나)사범,기타공대",IF(B15="인하대2","생활,간호,건축",IF(B15="인하대3","기초의과학부",IF(B15="아주대1","가)자연1,사과,e비즈",IF(B15="아주대2","가)자연2",IF(B15="아주대3","가우선,다)자연1,사과,e비즈",IF(B15="아주대4","가우선,다)자연2",IF(B15="한성대","가군전체",IF(B15="한성대1","다군전체",IF(B15="외대용인2","수학과",IF(B15="삼육대1","가군전체",IF(B15="삼육대2","가군기초의약과학",IF(B15="삼육대3","다군공대",IF(B15="삼육대4","다군기초의약과학",IF(B15="광운대1","수학,전자물리,화학",IF(B15="광운대2","건축",IF(B15="광운대3","기타전체",IF(B15="상명대2","의류,외식,소비자주거",IF(B15="가톨릭2","간호",IF(B15="가톨릭3","전체-가군우선,다군",IF(B15="가톨릭4","간호-가군우선,나군","전체")))))))))))))))))))))))))))))))))))))))))))))))))))))</f>
        <v>전체</v>
      </c>
      <c r="F15" s="1277"/>
      <c r="G15" s="1278">
        <f>VLOOKUP($B15,계산도구!$A$2:$G$527,4,FALSE)+VLOOKUP($B15,계산도구!$A$2:$G$527,5,FALSE)+VLOOKUP($B15,계산도구!$A$2:$G$527,6,FALSE)+VLOOKUP($B15,계산도구!$A$2:$G$527,7,FALSE)</f>
        <v>368.4</v>
      </c>
      <c r="H15" s="1279"/>
      <c r="I15" s="1280"/>
      <c r="J15" s="1271" t="str">
        <f t="shared" si="1"/>
        <v>+학생부</v>
      </c>
      <c r="K15" s="1272"/>
      <c r="L15" s="1348"/>
      <c r="M15" s="65"/>
      <c r="N15" s="65"/>
      <c r="O15" s="65"/>
      <c r="P15" s="65"/>
      <c r="Q15" s="65"/>
      <c r="R15" s="65"/>
      <c r="S15" s="34"/>
      <c r="AP15" s="1229" t="s">
        <v>493</v>
      </c>
      <c r="AQ15" s="1230" t="s">
        <v>478</v>
      </c>
      <c r="AR15" s="1231"/>
      <c r="AS15" s="1232"/>
    </row>
    <row r="16" spans="1:51" ht="20.100000000000001" customHeight="1">
      <c r="A16" s="1348"/>
      <c r="B16" s="1273" t="s">
        <v>11</v>
      </c>
      <c r="C16" s="1288"/>
      <c r="D16" s="1275"/>
      <c r="E16" s="1276" t="str">
        <f t="shared" si="2"/>
        <v>수학교육</v>
      </c>
      <c r="F16" s="1277"/>
      <c r="G16" s="1278">
        <f>VLOOKUP($B16,계산도구!$A$2:$G$527,4,FALSE)+VLOOKUP($B16,계산도구!$A$2:$G$527,5,FALSE)+VLOOKUP($B16,계산도구!$A$2:$G$527,6,FALSE)+VLOOKUP($B16,계산도구!$A$2:$G$527,7,FALSE)</f>
        <v>465.7</v>
      </c>
      <c r="H16" s="1279"/>
      <c r="I16" s="1280"/>
      <c r="J16" s="1271" t="str">
        <f t="shared" si="1"/>
        <v>+학생부</v>
      </c>
      <c r="K16" s="1272"/>
      <c r="L16" s="1348"/>
      <c r="M16" s="63"/>
      <c r="N16" s="63"/>
      <c r="O16" s="63"/>
      <c r="P16" s="63"/>
      <c r="Q16" s="63"/>
      <c r="R16" s="63"/>
      <c r="S16" s="34"/>
    </row>
    <row r="17" spans="1:50" ht="20.100000000000001" customHeight="1">
      <c r="A17" s="1348"/>
      <c r="B17" s="1273" t="s">
        <v>12</v>
      </c>
      <c r="C17" s="1288"/>
      <c r="D17" s="1275"/>
      <c r="E17" s="1276" t="str">
        <f t="shared" si="2"/>
        <v>과학교육</v>
      </c>
      <c r="F17" s="1277"/>
      <c r="G17" s="1278">
        <f>VLOOKUP($B17,계산도구!$A$2:$G$527,4,FALSE)+VLOOKUP($B17,계산도구!$A$2:$G$527,5,FALSE)+VLOOKUP($B17,계산도구!$A$2:$G$527,6,FALSE)+VLOOKUP($B17,계산도구!$A$2:$G$527,7,FALSE)</f>
        <v>471.5</v>
      </c>
      <c r="H17" s="1279"/>
      <c r="I17" s="1280"/>
      <c r="J17" s="1271" t="str">
        <f t="shared" si="1"/>
        <v>+학생부</v>
      </c>
      <c r="K17" s="1272"/>
      <c r="L17" s="1348"/>
      <c r="M17" s="63"/>
      <c r="N17" s="63"/>
      <c r="O17" s="63"/>
      <c r="P17" s="63"/>
      <c r="Q17" s="63"/>
      <c r="R17" s="63"/>
      <c r="S17" s="34"/>
    </row>
    <row r="18" spans="1:50" ht="20.100000000000001" customHeight="1">
      <c r="A18" s="1348"/>
      <c r="B18" s="1273" t="s">
        <v>13</v>
      </c>
      <c r="C18" s="1288"/>
      <c r="D18" s="1275"/>
      <c r="E18" s="1276" t="str">
        <f t="shared" si="2"/>
        <v>간호,식품,보건</v>
      </c>
      <c r="F18" s="1277"/>
      <c r="G18" s="1278">
        <f>VLOOKUP($B18,계산도구!$A$2:$G$527,4,FALSE)+VLOOKUP($B18,계산도구!$A$2:$G$527,5,FALSE)+VLOOKUP($B18,계산도구!$A$2:$G$527,6,FALSE)+VLOOKUP($B18,계산도구!$A$2:$G$527,7,FALSE)</f>
        <v>462.2</v>
      </c>
      <c r="H18" s="1279"/>
      <c r="I18" s="1280"/>
      <c r="J18" s="1271" t="str">
        <f t="shared" si="1"/>
        <v>+학생부</v>
      </c>
      <c r="K18" s="1272"/>
      <c r="L18" s="1348"/>
      <c r="M18" s="63"/>
      <c r="N18" s="63"/>
      <c r="O18" s="63"/>
      <c r="P18" s="63"/>
      <c r="Q18" s="63"/>
      <c r="R18" s="63"/>
      <c r="S18" s="34"/>
    </row>
    <row r="19" spans="1:50" ht="20.100000000000001" customHeight="1">
      <c r="A19" s="1348"/>
      <c r="B19" s="1273" t="s">
        <v>69</v>
      </c>
      <c r="C19" s="1288"/>
      <c r="D19" s="1275"/>
      <c r="E19" s="1276" t="str">
        <f t="shared" si="2"/>
        <v>가군전체</v>
      </c>
      <c r="F19" s="1277"/>
      <c r="G19" s="1278">
        <f>VLOOKUP($B19,계산도구!$A$2:$G$527,4,FALSE)+VLOOKUP($B19,계산도구!$A$2:$G$527,5,FALSE)+VLOOKUP($B19,계산도구!$A$2:$G$527,6,FALSE)+VLOOKUP($B19,계산도구!$A$2:$G$527,7,FALSE)</f>
        <v>571.44100000000003</v>
      </c>
      <c r="H19" s="1279"/>
      <c r="I19" s="1280"/>
      <c r="J19" s="1271" t="str">
        <f t="shared" si="1"/>
        <v>+학생부</v>
      </c>
      <c r="K19" s="1272"/>
      <c r="L19" s="1348"/>
      <c r="M19" s="63"/>
      <c r="N19" s="63"/>
      <c r="O19" s="63"/>
      <c r="P19" s="63"/>
      <c r="Q19" s="63"/>
      <c r="R19" s="63"/>
      <c r="S19" s="34"/>
    </row>
    <row r="20" spans="1:50" s="1206" customFormat="1" ht="20.100000000000001" customHeight="1">
      <c r="A20" s="1348"/>
      <c r="B20" s="1273" t="s">
        <v>437</v>
      </c>
      <c r="C20" s="1288"/>
      <c r="D20" s="1275"/>
      <c r="E20" s="1276" t="str">
        <f t="shared" si="2"/>
        <v>나군전체</v>
      </c>
      <c r="F20" s="1277"/>
      <c r="G20" s="1278">
        <f>G19*10/7</f>
        <v>816.34428571428566</v>
      </c>
      <c r="H20" s="1279"/>
      <c r="I20" s="1280"/>
      <c r="J20" s="1271" t="str">
        <f t="shared" si="1"/>
        <v>수능100%</v>
      </c>
      <c r="K20" s="1272"/>
      <c r="L20" s="1348"/>
      <c r="S20" s="34"/>
    </row>
    <row r="21" spans="1:50" ht="20.100000000000001" customHeight="1">
      <c r="A21" s="1348"/>
      <c r="B21" s="1273" t="s">
        <v>14</v>
      </c>
      <c r="C21" s="1288"/>
      <c r="D21" s="1275"/>
      <c r="E21" s="1276" t="str">
        <f t="shared" si="2"/>
        <v>전체</v>
      </c>
      <c r="F21" s="1277"/>
      <c r="G21" s="1278">
        <f>VLOOKUP($B21,계산도구!$A$2:$G$527,4,FALSE)+VLOOKUP($B21,계산도구!$A$2:$G$527,5,FALSE)+VLOOKUP($B21,계산도구!$A$2:$G$527,6,FALSE)+VLOOKUP($B21,계산도구!$A$2:$G$527,7,FALSE)</f>
        <v>575.10406535547475</v>
      </c>
      <c r="H21" s="1279"/>
      <c r="I21" s="1280"/>
      <c r="J21" s="1271" t="str">
        <f t="shared" si="1"/>
        <v>+학생부</v>
      </c>
      <c r="K21" s="1272"/>
      <c r="L21" s="1348"/>
      <c r="M21" s="63"/>
      <c r="N21" s="63"/>
      <c r="O21" s="63"/>
      <c r="P21" s="63"/>
      <c r="Q21" s="63"/>
      <c r="R21" s="63"/>
      <c r="S21" s="34"/>
    </row>
    <row r="22" spans="1:50" ht="20.100000000000001" customHeight="1">
      <c r="A22" s="1348"/>
      <c r="B22" s="1273" t="s">
        <v>15</v>
      </c>
      <c r="C22" s="1288"/>
      <c r="D22" s="1275"/>
      <c r="E22" s="1276" t="str">
        <f t="shared" si="2"/>
        <v>지리,식품,간호</v>
      </c>
      <c r="F22" s="1277"/>
      <c r="G22" s="1278">
        <f>VLOOKUP($B22,계산도구!$A$2:$G$527,4,FALSE)+VLOOKUP($B22,계산도구!$A$2:$G$527,5,FALSE)+VLOOKUP($B22,계산도구!$A$2:$G$527,6,FALSE)+VLOOKUP($B22,계산도구!$A$2:$G$527,7,FALSE)</f>
        <v>572.33800340405605</v>
      </c>
      <c r="H22" s="1279"/>
      <c r="I22" s="1280"/>
      <c r="J22" s="1271" t="str">
        <f t="shared" si="1"/>
        <v>+학생부</v>
      </c>
      <c r="K22" s="1272"/>
      <c r="L22" s="1348"/>
      <c r="M22" s="63"/>
      <c r="N22" s="63"/>
      <c r="O22" s="63"/>
      <c r="P22" s="63"/>
      <c r="Q22" s="63"/>
      <c r="R22" s="63"/>
      <c r="S22" s="34"/>
    </row>
    <row r="23" spans="1:50" ht="20.100000000000001" customHeight="1">
      <c r="A23" s="1348"/>
      <c r="B23" s="1273" t="s">
        <v>19</v>
      </c>
      <c r="C23" s="1288"/>
      <c r="D23" s="1275"/>
      <c r="E23" s="1276" t="str">
        <f t="shared" si="2"/>
        <v>전체</v>
      </c>
      <c r="F23" s="1277"/>
      <c r="G23" s="1278">
        <f>VLOOKUP($B23,계산도구!$A$2:$G$527,4,FALSE)+VLOOKUP($B23,계산도구!$A$2:$G$527,5,FALSE)+VLOOKUP($B23,계산도구!$A$2:$G$527,6,FALSE)+VLOOKUP($B23,계산도구!$A$2:$G$527,7,FALSE)</f>
        <v>616.58862666755385</v>
      </c>
      <c r="H23" s="1279"/>
      <c r="I23" s="1280"/>
      <c r="J23" s="1271" t="str">
        <f t="shared" si="1"/>
        <v>+학생부</v>
      </c>
      <c r="K23" s="1272"/>
      <c r="L23" s="1348"/>
      <c r="M23" s="63"/>
      <c r="N23" s="63"/>
      <c r="O23" s="63"/>
      <c r="P23" s="63"/>
      <c r="Q23" s="63"/>
      <c r="R23" s="63"/>
      <c r="S23" s="34"/>
    </row>
    <row r="24" spans="1:50" ht="20.100000000000001" customHeight="1">
      <c r="A24" s="1348"/>
      <c r="B24" s="1349" t="s">
        <v>20</v>
      </c>
      <c r="C24" s="1331"/>
      <c r="D24" s="1350"/>
      <c r="E24" s="1276" t="str">
        <f t="shared" si="2"/>
        <v>다군전체</v>
      </c>
      <c r="F24" s="1277"/>
      <c r="G24" s="1278">
        <f>VLOOKUP($B24,계산도구!$A$2:$G$527,4,FALSE)+VLOOKUP($B24,계산도구!$A$2:$G$527,5,FALSE)+VLOOKUP($B24,계산도구!$A$2:$G$527,6,FALSE)+VLOOKUP($B24,계산도구!$A$2:$G$527,7,FALSE)</f>
        <v>414.49099999999999</v>
      </c>
      <c r="H24" s="1279"/>
      <c r="I24" s="1280"/>
      <c r="J24" s="1301" t="str">
        <f t="shared" si="1"/>
        <v>+학생부</v>
      </c>
      <c r="K24" s="1302"/>
      <c r="L24" s="1348"/>
      <c r="M24" s="63"/>
      <c r="N24" s="63"/>
      <c r="O24" s="63"/>
      <c r="P24" s="63"/>
      <c r="Q24" s="63"/>
      <c r="R24" s="63"/>
      <c r="S24" s="34"/>
    </row>
    <row r="25" spans="1:50" s="1206" customFormat="1" ht="20.100000000000001" customHeight="1">
      <c r="A25" s="1348"/>
      <c r="B25" s="1349" t="s">
        <v>438</v>
      </c>
      <c r="C25" s="1331"/>
      <c r="D25" s="1350"/>
      <c r="E25" s="1276" t="str">
        <f t="shared" si="2"/>
        <v>나군전체</v>
      </c>
      <c r="F25" s="1277"/>
      <c r="G25" s="1278">
        <f>G24*10/7</f>
        <v>592.13</v>
      </c>
      <c r="H25" s="1279"/>
      <c r="I25" s="1280"/>
      <c r="J25" s="1301" t="str">
        <f t="shared" si="1"/>
        <v>수능100%</v>
      </c>
      <c r="K25" s="1302"/>
      <c r="L25" s="1348"/>
      <c r="S25" s="34"/>
    </row>
    <row r="26" spans="1:50" ht="20.100000000000001" customHeight="1">
      <c r="A26" s="1348"/>
      <c r="B26" s="1273" t="s">
        <v>21</v>
      </c>
      <c r="C26" s="1288"/>
      <c r="D26" s="1275"/>
      <c r="E26" s="1276" t="str">
        <f t="shared" si="2"/>
        <v>가군전체</v>
      </c>
      <c r="F26" s="1277"/>
      <c r="G26" s="1278">
        <f>VLOOKUP($B26,계산도구!$A$2:$G$527,4,FALSE)+VLOOKUP($B26,계산도구!$A$2:$G$527,5,FALSE)+VLOOKUP($B26,계산도구!$A$2:$G$527,6,FALSE)+VLOOKUP($B26,계산도구!$A$2:$G$527,7,FALSE)</f>
        <v>353.94</v>
      </c>
      <c r="H26" s="1279"/>
      <c r="I26" s="1280"/>
      <c r="J26" s="1271" t="str">
        <f t="shared" si="1"/>
        <v>+학생부</v>
      </c>
      <c r="K26" s="1272"/>
      <c r="L26" s="1348"/>
      <c r="M26" s="65"/>
      <c r="N26" s="65"/>
      <c r="O26" s="65"/>
      <c r="P26" s="65"/>
      <c r="Q26" s="63"/>
      <c r="R26" s="63"/>
      <c r="S26" s="34"/>
    </row>
    <row r="27" spans="1:50" s="94" customFormat="1" ht="20.100000000000001" customHeight="1">
      <c r="A27" s="1348"/>
      <c r="B27" s="1289" t="s">
        <v>70</v>
      </c>
      <c r="C27" s="1288"/>
      <c r="D27" s="1290"/>
      <c r="E27" s="1276" t="str">
        <f t="shared" si="2"/>
        <v>가군가정교육</v>
      </c>
      <c r="F27" s="1277"/>
      <c r="G27" s="1278">
        <f>VLOOKUP($B27,계산도구!$A$2:$G$527,4,FALSE)+VLOOKUP($B27,계산도구!$A$2:$G$527,5,FALSE)+VLOOKUP($B27,계산도구!$A$2:$G$527,6,FALSE)+VLOOKUP($B27,계산도구!$A$2:$G$527,7,FALSE)</f>
        <v>357.40500000000003</v>
      </c>
      <c r="H27" s="1279"/>
      <c r="I27" s="1280"/>
      <c r="J27" s="1271" t="str">
        <f t="shared" si="1"/>
        <v>+학생부</v>
      </c>
      <c r="K27" s="1272"/>
      <c r="L27" s="1348"/>
      <c r="M27" s="65"/>
      <c r="N27" s="65"/>
      <c r="O27" s="65"/>
      <c r="P27" s="65"/>
      <c r="S27" s="34"/>
    </row>
    <row r="28" spans="1:50" s="94" customFormat="1" ht="20.100000000000001" customHeight="1">
      <c r="A28" s="1348"/>
      <c r="B28" s="1289" t="s">
        <v>71</v>
      </c>
      <c r="C28" s="1288"/>
      <c r="D28" s="1290"/>
      <c r="E28" s="1276" t="str">
        <f t="shared" si="2"/>
        <v>가군컴공,정통,멀티</v>
      </c>
      <c r="F28" s="1277"/>
      <c r="G28" s="1278">
        <f>VLOOKUP($B28,계산도구!$A$2:$G$527,4,FALSE)+VLOOKUP($B28,계산도구!$A$2:$G$527,5,FALSE)+VLOOKUP($B28,계산도구!$A$2:$G$527,6,FALSE)+VLOOKUP($B28,계산도구!$A$2:$G$527,7,FALSE)</f>
        <v>365.49</v>
      </c>
      <c r="H28" s="1279"/>
      <c r="I28" s="1280"/>
      <c r="J28" s="1271" t="str">
        <f t="shared" si="1"/>
        <v>+학생부</v>
      </c>
      <c r="K28" s="1272"/>
      <c r="L28" s="1348"/>
      <c r="M28" s="65"/>
      <c r="N28" s="65"/>
      <c r="O28" s="65"/>
      <c r="P28" s="65"/>
      <c r="S28" s="34"/>
      <c r="AR28" s="150"/>
      <c r="AS28" s="150"/>
      <c r="AT28" s="150"/>
      <c r="AU28" s="150"/>
      <c r="AV28" s="150"/>
      <c r="AW28" s="150"/>
      <c r="AX28" s="150"/>
    </row>
    <row r="29" spans="1:50" ht="20.100000000000001" customHeight="1">
      <c r="A29" s="1348"/>
      <c r="B29" s="1273" t="s">
        <v>72</v>
      </c>
      <c r="C29" s="1288"/>
      <c r="D29" s="1275"/>
      <c r="E29" s="1276" t="str">
        <f t="shared" si="2"/>
        <v>가군바이오시스템</v>
      </c>
      <c r="F29" s="1277"/>
      <c r="G29" s="1278">
        <f>VLOOKUP($B29,계산도구!$A$2:$G$527,4,FALSE)+VLOOKUP($B29,계산도구!$A$2:$G$527,5,FALSE)+VLOOKUP($B29,계산도구!$A$2:$G$527,6,FALSE)+VLOOKUP($B29,계산도구!$A$2:$G$527,7,FALSE)</f>
        <v>371.26499999999999</v>
      </c>
      <c r="H29" s="1279"/>
      <c r="I29" s="1280"/>
      <c r="J29" s="1271" t="str">
        <f t="shared" si="1"/>
        <v>+학생부</v>
      </c>
      <c r="K29" s="1272"/>
      <c r="L29" s="1348"/>
      <c r="M29" s="63"/>
      <c r="N29" s="63"/>
      <c r="O29" s="63"/>
      <c r="P29" s="63"/>
      <c r="Q29" s="63"/>
      <c r="R29" s="63"/>
      <c r="S29" s="63"/>
      <c r="AR29" s="150"/>
      <c r="AS29" s="150"/>
      <c r="AT29" s="150"/>
      <c r="AU29" s="150"/>
      <c r="AV29" s="150"/>
      <c r="AW29" s="150"/>
      <c r="AX29" s="150"/>
    </row>
    <row r="30" spans="1:50" s="1206" customFormat="1" ht="20.100000000000001" customHeight="1">
      <c r="A30" s="1348"/>
      <c r="B30" s="1273" t="s">
        <v>439</v>
      </c>
      <c r="C30" s="1288"/>
      <c r="D30" s="1275"/>
      <c r="E30" s="1276" t="str">
        <f t="shared" si="2"/>
        <v>나군전체</v>
      </c>
      <c r="F30" s="1277"/>
      <c r="G30" s="1278">
        <f>G26*10/6</f>
        <v>589.9</v>
      </c>
      <c r="H30" s="1279"/>
      <c r="I30" s="1280"/>
      <c r="J30" s="1271" t="str">
        <f t="shared" si="1"/>
        <v>수능100%</v>
      </c>
      <c r="K30" s="1272"/>
      <c r="L30" s="1348"/>
    </row>
    <row r="31" spans="1:50" s="1206" customFormat="1" ht="20.100000000000001" customHeight="1">
      <c r="A31" s="1348"/>
      <c r="B31" s="1273" t="s">
        <v>440</v>
      </c>
      <c r="C31" s="1288"/>
      <c r="D31" s="1275"/>
      <c r="E31" s="1276" t="str">
        <f t="shared" si="2"/>
        <v>나군가정교육</v>
      </c>
      <c r="F31" s="1277"/>
      <c r="G31" s="1278">
        <f>G27*10/6</f>
        <v>595.67500000000007</v>
      </c>
      <c r="H31" s="1279"/>
      <c r="I31" s="1280"/>
      <c r="J31" s="1271" t="str">
        <f t="shared" si="1"/>
        <v>수능100%</v>
      </c>
      <c r="K31" s="1272"/>
      <c r="L31" s="1348"/>
    </row>
    <row r="32" spans="1:50" s="1206" customFormat="1" ht="20.100000000000001" customHeight="1">
      <c r="A32" s="1348"/>
      <c r="B32" s="1273" t="s">
        <v>441</v>
      </c>
      <c r="C32" s="1288"/>
      <c r="D32" s="1275"/>
      <c r="E32" s="1276" t="str">
        <f t="shared" si="2"/>
        <v>나군컴공,정통,멀티</v>
      </c>
      <c r="F32" s="1277"/>
      <c r="G32" s="1278">
        <f>G28*10/6</f>
        <v>609.15</v>
      </c>
      <c r="H32" s="1279"/>
      <c r="I32" s="1280"/>
      <c r="J32" s="1271" t="str">
        <f t="shared" si="1"/>
        <v>수능100%</v>
      </c>
      <c r="K32" s="1272"/>
      <c r="L32" s="1348"/>
    </row>
    <row r="33" spans="1:50" s="1206" customFormat="1" ht="20.100000000000001" customHeight="1">
      <c r="A33" s="1348"/>
      <c r="B33" s="1273" t="s">
        <v>442</v>
      </c>
      <c r="C33" s="1288"/>
      <c r="D33" s="1275"/>
      <c r="E33" s="1276" t="str">
        <f t="shared" si="2"/>
        <v>나군바이오시스템</v>
      </c>
      <c r="F33" s="1277"/>
      <c r="G33" s="1278">
        <f>G29*10/6</f>
        <v>618.77499999999998</v>
      </c>
      <c r="H33" s="1279"/>
      <c r="I33" s="1280"/>
      <c r="J33" s="1271" t="str">
        <f t="shared" si="1"/>
        <v>수능100%</v>
      </c>
      <c r="K33" s="1272"/>
      <c r="L33" s="1348"/>
    </row>
    <row r="34" spans="1:50" ht="20.100000000000001" customHeight="1">
      <c r="A34" s="1348"/>
      <c r="B34" s="1273" t="s">
        <v>22</v>
      </c>
      <c r="C34" s="1288"/>
      <c r="D34" s="1275"/>
      <c r="E34" s="1276" t="str">
        <f t="shared" si="2"/>
        <v>가군</v>
      </c>
      <c r="F34" s="1277"/>
      <c r="G34" s="1278">
        <f>VLOOKUP($B34,계산도구!$A$2:$G$527,4,FALSE)+VLOOKUP($B34,계산도구!$A$2:$G$527,5,FALSE)+VLOOKUP($B34,계산도구!$A$2:$G$527,6,FALSE)+VLOOKUP($B34,계산도구!$A$2:$G$527,7,FALSE)</f>
        <v>621.33333333333326</v>
      </c>
      <c r="H34" s="1279"/>
      <c r="I34" s="1280"/>
      <c r="J34" s="1271" t="str">
        <f t="shared" si="1"/>
        <v>+학생부</v>
      </c>
      <c r="K34" s="1272"/>
      <c r="L34" s="1348"/>
      <c r="M34" s="65"/>
      <c r="N34" s="65"/>
      <c r="O34" s="65"/>
      <c r="P34" s="65"/>
      <c r="Q34" s="63"/>
      <c r="R34" s="63"/>
      <c r="S34" s="63"/>
      <c r="AR34" s="150"/>
      <c r="AS34" s="150"/>
      <c r="AT34" s="150"/>
      <c r="AU34" s="150"/>
      <c r="AV34" s="150"/>
      <c r="AW34" s="150"/>
      <c r="AX34" s="150"/>
    </row>
    <row r="35" spans="1:50" s="1157" customFormat="1" ht="20.100000000000001" customHeight="1">
      <c r="A35" s="1348"/>
      <c r="B35" s="1273" t="s">
        <v>415</v>
      </c>
      <c r="C35" s="1288"/>
      <c r="D35" s="1275"/>
      <c r="E35" s="1276" t="str">
        <f t="shared" si="2"/>
        <v>다군</v>
      </c>
      <c r="F35" s="1277"/>
      <c r="G35" s="1278">
        <f>G34*10/8</f>
        <v>776.66666666666652</v>
      </c>
      <c r="H35" s="1279"/>
      <c r="I35" s="1280"/>
      <c r="J35" s="1271" t="str">
        <f t="shared" si="1"/>
        <v>수능100%</v>
      </c>
      <c r="K35" s="1272"/>
      <c r="L35" s="1348"/>
      <c r="M35" s="65"/>
      <c r="N35" s="65"/>
      <c r="O35" s="65"/>
      <c r="P35" s="65"/>
    </row>
    <row r="36" spans="1:50" ht="20.100000000000001" customHeight="1">
      <c r="A36" s="1348"/>
      <c r="B36" s="1273" t="s">
        <v>23</v>
      </c>
      <c r="C36" s="1288"/>
      <c r="D36" s="1275"/>
      <c r="E36" s="1276" t="str">
        <f t="shared" si="2"/>
        <v>나군(수교제외)</v>
      </c>
      <c r="F36" s="1277"/>
      <c r="G36" s="1278">
        <f>VLOOKUP($B36,계산도구!$A$2:$G$527,4,FALSE)+VLOOKUP($B36,계산도구!$A$2:$G$527,5,FALSE)+VLOOKUP($B36,계산도구!$A$2:$G$527,6,FALSE)+VLOOKUP($B36,계산도구!$A$2:$G$527,7,FALSE)</f>
        <v>750</v>
      </c>
      <c r="H36" s="1279"/>
      <c r="I36" s="1280"/>
      <c r="J36" s="1271" t="str">
        <f t="shared" si="1"/>
        <v>수능100%</v>
      </c>
      <c r="K36" s="1272"/>
      <c r="L36" s="1348"/>
      <c r="M36" s="63"/>
      <c r="N36" s="63"/>
      <c r="O36" s="63"/>
      <c r="P36" s="63"/>
      <c r="Q36" s="63"/>
      <c r="R36" s="63"/>
      <c r="S36" s="63"/>
      <c r="AR36" s="150"/>
      <c r="AS36" s="150"/>
      <c r="AT36" s="150"/>
      <c r="AU36" s="150"/>
      <c r="AV36" s="150"/>
      <c r="AW36" s="150"/>
      <c r="AX36" s="150"/>
    </row>
    <row r="37" spans="1:50" s="95" customFormat="1" ht="20.100000000000001" customHeight="1">
      <c r="A37" s="1348"/>
      <c r="B37" s="1289" t="s">
        <v>137</v>
      </c>
      <c r="C37" s="1288"/>
      <c r="D37" s="1290"/>
      <c r="E37" s="1276" t="str">
        <f t="shared" si="2"/>
        <v>가군</v>
      </c>
      <c r="F37" s="1277"/>
      <c r="G37" s="1278">
        <f>VLOOKUP($B37,계산도구!$A$2:$G$527,4,FALSE)+VLOOKUP($B37,계산도구!$A$2:$G$527,5,FALSE)+VLOOKUP($B37,계산도구!$A$2:$G$527,6,FALSE)+VLOOKUP($B37,계산도구!$A$2:$G$527,7,FALSE)</f>
        <v>458.4</v>
      </c>
      <c r="H37" s="1279"/>
      <c r="I37" s="1280"/>
      <c r="J37" s="1271" t="str">
        <f t="shared" si="1"/>
        <v>+학생부</v>
      </c>
      <c r="K37" s="1272"/>
      <c r="L37" s="1348"/>
    </row>
    <row r="38" spans="1:50" s="1157" customFormat="1" ht="20.100000000000001" customHeight="1">
      <c r="A38" s="1348"/>
      <c r="B38" s="1289" t="s">
        <v>416</v>
      </c>
      <c r="C38" s="1288"/>
      <c r="D38" s="1290"/>
      <c r="E38" s="1276" t="str">
        <f t="shared" si="2"/>
        <v>나,다군</v>
      </c>
      <c r="F38" s="1277"/>
      <c r="G38" s="1278">
        <f>G37*10/6</f>
        <v>764</v>
      </c>
      <c r="H38" s="1279"/>
      <c r="I38" s="1280"/>
      <c r="J38" s="1271" t="str">
        <f t="shared" si="1"/>
        <v>수능100%</v>
      </c>
      <c r="K38" s="1272"/>
      <c r="L38" s="1348"/>
    </row>
    <row r="39" spans="1:50" s="9" customFormat="1" ht="20.100000000000001" customHeight="1">
      <c r="A39" s="1348"/>
      <c r="B39" s="1321" t="s">
        <v>24</v>
      </c>
      <c r="C39" s="1328"/>
      <c r="D39" s="1323"/>
      <c r="E39" s="1276" t="str">
        <f t="shared" si="2"/>
        <v>가군전체</v>
      </c>
      <c r="F39" s="1277"/>
      <c r="G39" s="1278">
        <f>VLOOKUP($B39,계산도구!$A$2:$G$527,4,FALSE)+VLOOKUP($B39,계산도구!$A$2:$G$527,5,FALSE)+VLOOKUP($B39,계산도구!$A$2:$G$527,6,FALSE)+VLOOKUP($B39,계산도구!$A$2:$G$527,7,FALSE)</f>
        <v>554.22500000000002</v>
      </c>
      <c r="H39" s="1279"/>
      <c r="I39" s="1280"/>
      <c r="J39" s="1271" t="str">
        <f t="shared" si="1"/>
        <v>+학생부</v>
      </c>
      <c r="K39" s="1272"/>
      <c r="L39" s="1348"/>
      <c r="M39" s="63"/>
      <c r="N39" s="63"/>
      <c r="O39" s="63"/>
      <c r="P39" s="63"/>
      <c r="Q39" s="63"/>
      <c r="R39" s="63"/>
      <c r="S39" s="63"/>
    </row>
    <row r="40" spans="1:50" s="1157" customFormat="1" ht="20.100000000000001" customHeight="1">
      <c r="A40" s="1348"/>
      <c r="B40" s="1321" t="s">
        <v>417</v>
      </c>
      <c r="C40" s="1328"/>
      <c r="D40" s="1323"/>
      <c r="E40" s="1276" t="str">
        <f t="shared" si="2"/>
        <v>다군전체</v>
      </c>
      <c r="F40" s="1277"/>
      <c r="G40" s="1278">
        <f>G39*10/7</f>
        <v>791.75</v>
      </c>
      <c r="H40" s="1279"/>
      <c r="I40" s="1280"/>
      <c r="J40" s="1271" t="str">
        <f t="shared" si="1"/>
        <v>수능100%</v>
      </c>
      <c r="K40" s="1272"/>
      <c r="L40" s="1348"/>
    </row>
    <row r="41" spans="1:50" s="9" customFormat="1" ht="20.100000000000001" customHeight="1">
      <c r="A41" s="1348"/>
      <c r="B41" s="1273" t="s">
        <v>237</v>
      </c>
      <c r="C41" s="1274"/>
      <c r="D41" s="1275"/>
      <c r="E41" s="1276" t="str">
        <f t="shared" si="2"/>
        <v>전체</v>
      </c>
      <c r="F41" s="1277"/>
      <c r="G41" s="1278">
        <f>VLOOKUP($B41,계산도구!$A$2:$G$527,4,FALSE)+VLOOKUP($B41,계산도구!$A$2:$G$527,5,FALSE)+VLOOKUP($B41,계산도구!$A$2:$G$527,6,FALSE)+VLOOKUP($B41,계산도구!$A$2:$G$527,7,FALSE)</f>
        <v>548.54999999999995</v>
      </c>
      <c r="H41" s="1279"/>
      <c r="I41" s="1280"/>
      <c r="J41" s="1271" t="str">
        <f t="shared" si="1"/>
        <v>+학생부</v>
      </c>
      <c r="K41" s="1272"/>
      <c r="L41" s="1348"/>
      <c r="M41" s="65"/>
      <c r="N41" s="65"/>
      <c r="O41" s="65"/>
      <c r="P41" s="63"/>
      <c r="Q41" s="63"/>
      <c r="R41" s="63"/>
      <c r="S41" s="63"/>
    </row>
    <row r="42" spans="1:50" s="649" customFormat="1" ht="20.100000000000001" customHeight="1">
      <c r="A42" s="1348"/>
      <c r="B42" s="1273" t="s">
        <v>239</v>
      </c>
      <c r="C42" s="1274"/>
      <c r="D42" s="1275"/>
      <c r="E42" s="1276" t="str">
        <f t="shared" si="2"/>
        <v>수학과</v>
      </c>
      <c r="F42" s="1277"/>
      <c r="G42" s="1278">
        <f>VLOOKUP($B42,계산도구!$A$2:$G$527,4,FALSE)+VLOOKUP($B42,계산도구!$A$2:$G$527,5,FALSE)+VLOOKUP($B42,계산도구!$A$2:$G$527,6,FALSE)+VLOOKUP($B42,계산도구!$A$2:$G$527,7,FALSE)</f>
        <v>536.54999999999995</v>
      </c>
      <c r="H42" s="1279"/>
      <c r="I42" s="1280"/>
      <c r="J42" s="1271" t="str">
        <f t="shared" si="1"/>
        <v>+학생부</v>
      </c>
      <c r="K42" s="1272"/>
      <c r="L42" s="1348"/>
      <c r="M42" s="65"/>
      <c r="N42" s="65"/>
      <c r="O42" s="65"/>
    </row>
    <row r="43" spans="1:50" s="9" customFormat="1" ht="20.100000000000001" customHeight="1">
      <c r="A43" s="1348"/>
      <c r="B43" s="1273" t="s">
        <v>335</v>
      </c>
      <c r="C43" s="1274"/>
      <c r="D43" s="1275"/>
      <c r="E43" s="1276" t="str">
        <f t="shared" si="2"/>
        <v>전체</v>
      </c>
      <c r="F43" s="1277"/>
      <c r="G43" s="1278">
        <f>VLOOKUP($B43,계산도구!$A$2:$G$527,4,FALSE)+VLOOKUP($B43,계산도구!$A$2:$G$527,5,FALSE)+VLOOKUP($B43,계산도구!$A$2:$G$527,6,FALSE)+VLOOKUP($B43,계산도구!$A$2:$G$527,7,FALSE)</f>
        <v>590.20183190647151</v>
      </c>
      <c r="H43" s="1279"/>
      <c r="I43" s="1280"/>
      <c r="J43" s="1271" t="str">
        <f t="shared" si="1"/>
        <v>+학생부</v>
      </c>
      <c r="K43" s="1272"/>
      <c r="L43" s="1348"/>
      <c r="M43" s="65"/>
      <c r="N43" s="65"/>
      <c r="O43" s="65"/>
      <c r="P43" s="63"/>
      <c r="Q43" s="63"/>
      <c r="R43" s="63"/>
      <c r="S43" s="63"/>
    </row>
    <row r="44" spans="1:50" s="916" customFormat="1" ht="20.100000000000001" customHeight="1">
      <c r="A44" s="1348"/>
      <c r="B44" s="1273" t="s">
        <v>336</v>
      </c>
      <c r="C44" s="1274"/>
      <c r="D44" s="1275"/>
      <c r="E44" s="1276" t="str">
        <f t="shared" si="2"/>
        <v>자연과학</v>
      </c>
      <c r="F44" s="1277"/>
      <c r="G44" s="1278">
        <f>VLOOKUP($B44,계산도구!$A$2:$G$527,4,FALSE)+VLOOKUP($B44,계산도구!$A$2:$G$527,5,FALSE)+VLOOKUP($B44,계산도구!$A$2:$G$527,6,FALSE)+VLOOKUP($B44,계산도구!$A$2:$G$527,7,FALSE)</f>
        <v>564.08745282150426</v>
      </c>
      <c r="H44" s="1279"/>
      <c r="I44" s="1280"/>
      <c r="J44" s="1271" t="str">
        <f t="shared" si="1"/>
        <v>+학생부</v>
      </c>
      <c r="K44" s="1272"/>
      <c r="L44" s="1348"/>
      <c r="M44" s="65"/>
      <c r="N44" s="65"/>
      <c r="O44" s="65"/>
    </row>
    <row r="45" spans="1:50" s="9" customFormat="1" ht="20.100000000000001" customHeight="1">
      <c r="A45" s="1348"/>
      <c r="B45" s="1273" t="s">
        <v>129</v>
      </c>
      <c r="C45" s="1274"/>
      <c r="D45" s="1275"/>
      <c r="E45" s="1276" t="str">
        <f t="shared" si="2"/>
        <v>다)자연,화학,파이버,건축공</v>
      </c>
      <c r="F45" s="1277"/>
      <c r="G45" s="1278">
        <f>VLOOKUP($B45,계산도구!$A$2:$G$527,4,FALSE)+VLOOKUP($B45,계산도구!$A$2:$G$527,5,FALSE)+VLOOKUP($B45,계산도구!$A$2:$G$527,6,FALSE)+VLOOKUP($B45,계산도구!$A$2:$G$527,7,FALSE)</f>
        <v>569.45000000000005</v>
      </c>
      <c r="H45" s="1279"/>
      <c r="I45" s="1280"/>
      <c r="J45" s="1271" t="str">
        <f t="shared" si="1"/>
        <v>+학생부</v>
      </c>
      <c r="K45" s="1272"/>
      <c r="L45" s="1348"/>
      <c r="M45" s="63"/>
      <c r="N45" s="63"/>
      <c r="O45" s="63"/>
      <c r="P45" s="63"/>
      <c r="Q45" s="63"/>
      <c r="R45" s="63"/>
      <c r="S45" s="63"/>
    </row>
    <row r="46" spans="1:50" s="170" customFormat="1" ht="20.100000000000001" customHeight="1">
      <c r="A46" s="1348"/>
      <c r="B46" s="1273" t="s">
        <v>130</v>
      </c>
      <c r="C46" s="1274"/>
      <c r="D46" s="1275"/>
      <c r="E46" s="1276" t="str">
        <f t="shared" si="2"/>
        <v>다)정보통계,건축학</v>
      </c>
      <c r="F46" s="1277"/>
      <c r="G46" s="1278">
        <f>VLOOKUP($B46,계산도구!$A$2:$G$527,4,FALSE)+VLOOKUP($B46,계산도구!$A$2:$G$527,5,FALSE)+VLOOKUP($B46,계산도구!$A$2:$G$527,6,FALSE)+VLOOKUP($B46,계산도구!$A$2:$G$527,7,FALSE)</f>
        <v>563.5</v>
      </c>
      <c r="H46" s="1279"/>
      <c r="I46" s="1280"/>
      <c r="J46" s="1271" t="str">
        <f t="shared" si="1"/>
        <v>+학생부</v>
      </c>
      <c r="K46" s="1272"/>
      <c r="L46" s="1348"/>
    </row>
    <row r="47" spans="1:50" s="175" customFormat="1" ht="20.100000000000001" customHeight="1">
      <c r="A47" s="1348"/>
      <c r="B47" s="1273" t="s">
        <v>182</v>
      </c>
      <c r="C47" s="1274"/>
      <c r="D47" s="1275"/>
      <c r="E47" s="1276" t="str">
        <f t="shared" si="2"/>
        <v>다)사범,기타공대</v>
      </c>
      <c r="F47" s="1277"/>
      <c r="G47" s="1278">
        <f>VLOOKUP($B47,계산도구!$A$2:$G$527,4,FALSE)+VLOOKUP($B47,계산도구!$A$2:$G$527,5,FALSE)+VLOOKUP($B47,계산도구!$A$2:$G$527,6,FALSE)+VLOOKUP($B47,계산도구!$A$2:$G$527,7,FALSE)</f>
        <v>555.79999999999995</v>
      </c>
      <c r="H47" s="1279"/>
      <c r="I47" s="1280"/>
      <c r="J47" s="1271" t="str">
        <f t="shared" si="1"/>
        <v>+학생부</v>
      </c>
      <c r="K47" s="1272"/>
      <c r="L47" s="1348"/>
    </row>
    <row r="48" spans="1:50" s="1157" customFormat="1" ht="20.100000000000001" customHeight="1">
      <c r="A48" s="1348"/>
      <c r="B48" s="1273" t="s">
        <v>421</v>
      </c>
      <c r="C48" s="1274"/>
      <c r="D48" s="1275"/>
      <c r="E48" s="1276" t="str">
        <f t="shared" si="2"/>
        <v>나)자연,화학,파이버,건축공</v>
      </c>
      <c r="F48" s="1277"/>
      <c r="G48" s="1278">
        <f>G45*10/7</f>
        <v>813.5</v>
      </c>
      <c r="H48" s="1279"/>
      <c r="I48" s="1280"/>
      <c r="J48" s="1271" t="str">
        <f t="shared" si="1"/>
        <v>수능100%</v>
      </c>
      <c r="K48" s="1272"/>
      <c r="L48" s="1348"/>
    </row>
    <row r="49" spans="1:19" s="1157" customFormat="1" ht="20.100000000000001" customHeight="1">
      <c r="A49" s="1348"/>
      <c r="B49" s="1273" t="s">
        <v>422</v>
      </c>
      <c r="C49" s="1274"/>
      <c r="D49" s="1275"/>
      <c r="E49" s="1276" t="str">
        <f t="shared" si="2"/>
        <v>나)정보통계,건축학</v>
      </c>
      <c r="F49" s="1277"/>
      <c r="G49" s="1278">
        <f>G46*10/7</f>
        <v>805</v>
      </c>
      <c r="H49" s="1279"/>
      <c r="I49" s="1280"/>
      <c r="J49" s="1271" t="str">
        <f t="shared" si="1"/>
        <v>수능100%</v>
      </c>
      <c r="K49" s="1272"/>
      <c r="L49" s="1348"/>
    </row>
    <row r="50" spans="1:19" s="1157" customFormat="1" ht="20.100000000000001" customHeight="1">
      <c r="A50" s="1348"/>
      <c r="B50" s="1273" t="s">
        <v>423</v>
      </c>
      <c r="C50" s="1274"/>
      <c r="D50" s="1275"/>
      <c r="E50" s="1276" t="str">
        <f t="shared" si="2"/>
        <v>나)사범,기타공대</v>
      </c>
      <c r="F50" s="1277"/>
      <c r="G50" s="1278">
        <f>G47*10/7</f>
        <v>794</v>
      </c>
      <c r="H50" s="1279"/>
      <c r="I50" s="1280"/>
      <c r="J50" s="1271" t="str">
        <f t="shared" si="1"/>
        <v>수능100%</v>
      </c>
      <c r="K50" s="1272"/>
      <c r="L50" s="1348"/>
    </row>
    <row r="51" spans="1:19" s="9" customFormat="1" ht="20.100000000000001" customHeight="1">
      <c r="A51" s="1348"/>
      <c r="B51" s="1349" t="s">
        <v>73</v>
      </c>
      <c r="C51" s="1384"/>
      <c r="D51" s="1350"/>
      <c r="E51" s="1276" t="str">
        <f t="shared" si="2"/>
        <v>전체</v>
      </c>
      <c r="F51" s="1277"/>
      <c r="G51" s="1278">
        <f>VLOOKUP($B51,계산도구!$A$2:$G$527,4,FALSE)+VLOOKUP($B51,계산도구!$A$2:$G$527,5,FALSE)+VLOOKUP($B51,계산도구!$A$2:$G$527,6,FALSE)+VLOOKUP($B51,계산도구!$A$2:$G$527,7,FALSE)</f>
        <v>455.1640625</v>
      </c>
      <c r="H51" s="1279"/>
      <c r="I51" s="1280"/>
      <c r="J51" s="1301" t="str">
        <f t="shared" si="1"/>
        <v>+학생부</v>
      </c>
      <c r="K51" s="1302"/>
      <c r="L51" s="1348"/>
      <c r="M51" s="65"/>
      <c r="N51" s="65"/>
      <c r="O51" s="65"/>
      <c r="P51" s="63"/>
      <c r="Q51" s="63"/>
      <c r="R51" s="63"/>
      <c r="S51" s="63"/>
    </row>
    <row r="52" spans="1:19" s="94" customFormat="1" ht="20.100000000000001" customHeight="1">
      <c r="A52" s="1348"/>
      <c r="B52" s="1330" t="s">
        <v>74</v>
      </c>
      <c r="C52" s="1331"/>
      <c r="D52" s="1332"/>
      <c r="E52" s="1276" t="str">
        <f t="shared" si="2"/>
        <v>생활,간호,건축</v>
      </c>
      <c r="F52" s="1277"/>
      <c r="G52" s="1278">
        <f>VLOOKUP($B52,계산도구!$A$2:$G$527,4,FALSE)+VLOOKUP($B52,계산도구!$A$2:$G$527,5,FALSE)+VLOOKUP($B52,계산도구!$A$2:$G$527,6,FALSE)+VLOOKUP($B52,계산도구!$A$2:$G$527,7,FALSE)</f>
        <v>466.71406250000001</v>
      </c>
      <c r="H52" s="1279"/>
      <c r="I52" s="1280"/>
      <c r="J52" s="1301" t="str">
        <f t="shared" si="1"/>
        <v>+학생부</v>
      </c>
      <c r="K52" s="1302"/>
      <c r="L52" s="1348"/>
      <c r="M52" s="65"/>
      <c r="N52" s="65"/>
      <c r="O52" s="65"/>
    </row>
    <row r="53" spans="1:19" s="649" customFormat="1" ht="20.100000000000001" customHeight="1">
      <c r="A53" s="1348"/>
      <c r="B53" s="1330" t="s">
        <v>244</v>
      </c>
      <c r="C53" s="1331"/>
      <c r="D53" s="1332"/>
      <c r="E53" s="1276" t="str">
        <f t="shared" si="2"/>
        <v>기초의과학부</v>
      </c>
      <c r="F53" s="1277"/>
      <c r="G53" s="1278">
        <f>VLOOKUP($B53,계산도구!$A$2:$G$527,4,FALSE)+VLOOKUP($B53,계산도구!$A$2:$G$527,5,FALSE)+VLOOKUP($B53,계산도구!$A$2:$G$527,6,FALSE)+VLOOKUP($B53,계산도구!$A$2:$G$527,7,FALSE)</f>
        <v>456.789921875</v>
      </c>
      <c r="H53" s="1279"/>
      <c r="I53" s="1280"/>
      <c r="J53" s="1301" t="str">
        <f t="shared" si="1"/>
        <v>+학생부</v>
      </c>
      <c r="K53" s="1302"/>
      <c r="L53" s="1348"/>
      <c r="M53" s="65"/>
      <c r="N53" s="65"/>
      <c r="O53" s="65"/>
    </row>
    <row r="54" spans="1:19" s="9" customFormat="1" ht="20.100000000000001" customHeight="1">
      <c r="A54" s="1348"/>
      <c r="B54" s="1273" t="s">
        <v>25</v>
      </c>
      <c r="C54" s="1274"/>
      <c r="D54" s="1275"/>
      <c r="E54" s="1276" t="str">
        <f t="shared" si="2"/>
        <v>가)자연1,사과,e비즈</v>
      </c>
      <c r="F54" s="1277"/>
      <c r="G54" s="1278">
        <f>VLOOKUP($B54,계산도구!$A$2:$G$527,4,FALSE)+VLOOKUP($B54,계산도구!$A$2:$G$527,5,FALSE)+VLOOKUP($B54,계산도구!$A$2:$G$527,6,FALSE)+VLOOKUP($B54,계산도구!$A$2:$G$527,7,FALSE)</f>
        <v>56.548316251830158</v>
      </c>
      <c r="H54" s="1279"/>
      <c r="I54" s="1280"/>
      <c r="J54" s="1271" t="str">
        <f t="shared" si="1"/>
        <v>+학생부</v>
      </c>
      <c r="K54" s="1272"/>
      <c r="L54" s="1348"/>
      <c r="M54" s="65"/>
      <c r="N54" s="65"/>
      <c r="O54" s="65"/>
      <c r="P54" s="63"/>
      <c r="Q54" s="63"/>
      <c r="R54" s="63"/>
      <c r="S54" s="63"/>
    </row>
    <row r="55" spans="1:19" s="9" customFormat="1" ht="20.100000000000001" customHeight="1">
      <c r="A55" s="1348"/>
      <c r="B55" s="1273" t="s">
        <v>26</v>
      </c>
      <c r="C55" s="1274"/>
      <c r="D55" s="1275"/>
      <c r="E55" s="1276" t="str">
        <f t="shared" si="2"/>
        <v>가)자연2</v>
      </c>
      <c r="F55" s="1277"/>
      <c r="G55" s="1278">
        <f>VLOOKUP($B55,계산도구!$A$2:$G$527,4,FALSE)+VLOOKUP($B55,계산도구!$A$2:$G$527,5,FALSE)+VLOOKUP($B55,계산도구!$A$2:$G$527,6,FALSE)+VLOOKUP($B55,계산도구!$A$2:$G$527,7,FALSE)</f>
        <v>56.616161616161612</v>
      </c>
      <c r="H55" s="1279"/>
      <c r="I55" s="1280"/>
      <c r="J55" s="1271" t="str">
        <f t="shared" si="1"/>
        <v>+학생부</v>
      </c>
      <c r="K55" s="1272"/>
      <c r="L55" s="1348"/>
      <c r="M55" s="63"/>
      <c r="N55" s="63"/>
      <c r="O55" s="63"/>
      <c r="P55" s="63"/>
      <c r="Q55" s="63"/>
      <c r="R55" s="63"/>
      <c r="S55" s="63"/>
    </row>
    <row r="56" spans="1:19" s="1157" customFormat="1" ht="20.100000000000001" customHeight="1">
      <c r="A56" s="1348"/>
      <c r="B56" s="1273" t="s">
        <v>412</v>
      </c>
      <c r="C56" s="1274"/>
      <c r="D56" s="1275"/>
      <c r="E56" s="1276" t="str">
        <f t="shared" si="2"/>
        <v>가우선,다)자연1,사과,e비즈</v>
      </c>
      <c r="F56" s="1277"/>
      <c r="G56" s="1278">
        <f>VLOOKUP($B56,계산도구!$A$2:$G$527,4,FALSE)+VLOOKUP($B56,계산도구!$A$2:$G$527,5,FALSE)+VLOOKUP($B56,계산도구!$A$2:$G$527,6,FALSE)+VLOOKUP($B56,계산도구!$A$2:$G$527,7,FALSE)</f>
        <v>551.75</v>
      </c>
      <c r="H56" s="1279"/>
      <c r="I56" s="1280"/>
      <c r="J56" s="1271" t="str">
        <f t="shared" si="1"/>
        <v>수능100%</v>
      </c>
      <c r="K56" s="1272"/>
      <c r="L56" s="1348"/>
    </row>
    <row r="57" spans="1:19" s="1157" customFormat="1" ht="20.100000000000001" customHeight="1">
      <c r="A57" s="1348"/>
      <c r="B57" s="1273" t="s">
        <v>413</v>
      </c>
      <c r="C57" s="1274"/>
      <c r="D57" s="1275"/>
      <c r="E57" s="1276" t="str">
        <f t="shared" si="2"/>
        <v>가우선,다)자연2</v>
      </c>
      <c r="F57" s="1277"/>
      <c r="G57" s="1278">
        <f>VLOOKUP($B57,계산도구!$A$2:$G$527,4,FALSE)+VLOOKUP($B57,계산도구!$A$2:$G$527,5,FALSE)+VLOOKUP($B57,계산도구!$A$2:$G$527,6,FALSE)+VLOOKUP($B57,계산도구!$A$2:$G$527,7,FALSE)</f>
        <v>560.5</v>
      </c>
      <c r="H57" s="1279"/>
      <c r="I57" s="1280"/>
      <c r="J57" s="1271" t="str">
        <f t="shared" si="1"/>
        <v>수능100%</v>
      </c>
      <c r="K57" s="1272"/>
      <c r="L57" s="1348"/>
    </row>
    <row r="58" spans="1:19" s="9" customFormat="1" ht="20.100000000000001" customHeight="1">
      <c r="A58" s="1348"/>
      <c r="B58" s="1273" t="s">
        <v>76</v>
      </c>
      <c r="C58" s="1274"/>
      <c r="D58" s="1275"/>
      <c r="E58" s="1276" t="str">
        <f t="shared" si="2"/>
        <v>전체</v>
      </c>
      <c r="F58" s="1277"/>
      <c r="G58" s="1278">
        <f>VLOOKUP($B58,계산도구!$A$2:$G$527,4,FALSE)+VLOOKUP($B58,계산도구!$A$2:$G$527,5,FALSE)+VLOOKUP($B58,계산도구!$A$2:$G$527,6,FALSE)+VLOOKUP($B58,계산도구!$A$2:$G$527,7,FALSE)</f>
        <v>475</v>
      </c>
      <c r="H58" s="1279"/>
      <c r="I58" s="1280"/>
      <c r="J58" s="1271" t="str">
        <f t="shared" si="1"/>
        <v>+학생부</v>
      </c>
      <c r="K58" s="1272"/>
      <c r="L58" s="1348"/>
      <c r="M58" s="63"/>
      <c r="N58" s="63"/>
      <c r="O58" s="63"/>
      <c r="P58" s="63"/>
      <c r="Q58" s="63"/>
      <c r="R58" s="63"/>
      <c r="S58" s="63"/>
    </row>
    <row r="59" spans="1:19" s="9" customFormat="1" ht="20.100000000000001" customHeight="1">
      <c r="A59" s="1348"/>
      <c r="B59" s="1273" t="s">
        <v>77</v>
      </c>
      <c r="C59" s="1274"/>
      <c r="D59" s="1275"/>
      <c r="E59" s="1276" t="str">
        <f t="shared" si="2"/>
        <v>전체</v>
      </c>
      <c r="F59" s="1277"/>
      <c r="G59" s="1278">
        <f>VLOOKUP($B59,계산도구!$A$2:$G$527,4,FALSE)+VLOOKUP($B59,계산도구!$A$2:$G$527,5,FALSE)+VLOOKUP($B59,계산도구!$A$2:$G$527,6,FALSE)+VLOOKUP($B59,계산도구!$A$2:$G$527,7,FALSE)</f>
        <v>554.10249999999996</v>
      </c>
      <c r="H59" s="1279"/>
      <c r="I59" s="1280"/>
      <c r="J59" s="1271" t="str">
        <f t="shared" si="1"/>
        <v>+학생부</v>
      </c>
      <c r="K59" s="1272"/>
      <c r="L59" s="1348"/>
      <c r="M59" s="63"/>
      <c r="N59" s="63"/>
      <c r="O59" s="63"/>
      <c r="P59" s="63"/>
      <c r="Q59" s="63"/>
      <c r="R59" s="63"/>
      <c r="S59" s="63"/>
    </row>
    <row r="60" spans="1:19" s="9" customFormat="1" ht="20.100000000000001" customHeight="1">
      <c r="A60" s="1348"/>
      <c r="B60" s="1273" t="s">
        <v>78</v>
      </c>
      <c r="C60" s="1274"/>
      <c r="D60" s="1275"/>
      <c r="E60" s="1276" t="str">
        <f t="shared" si="2"/>
        <v>가군전체</v>
      </c>
      <c r="F60" s="1277"/>
      <c r="G60" s="1278">
        <f>VLOOKUP($B60,계산도구!$A$2:$G$527,4,FALSE)+VLOOKUP($B60,계산도구!$A$2:$G$527,5,FALSE)+VLOOKUP($B60,계산도구!$A$2:$G$527,6,FALSE)+VLOOKUP($B60,계산도구!$A$2:$G$527,7,FALSE)</f>
        <v>761.4</v>
      </c>
      <c r="H60" s="1279"/>
      <c r="I60" s="1280"/>
      <c r="J60" s="1271" t="str">
        <f t="shared" si="1"/>
        <v>+학생부</v>
      </c>
      <c r="K60" s="1272"/>
      <c r="L60" s="1348"/>
      <c r="M60" s="63"/>
      <c r="N60" s="63"/>
      <c r="O60" s="63"/>
      <c r="P60" s="63"/>
      <c r="Q60" s="63"/>
      <c r="R60" s="63"/>
      <c r="S60" s="63"/>
    </row>
    <row r="61" spans="1:19" s="1157" customFormat="1" ht="20.100000000000001" customHeight="1">
      <c r="A61" s="1348"/>
      <c r="B61" s="1273" t="s">
        <v>420</v>
      </c>
      <c r="C61" s="1274"/>
      <c r="D61" s="1275"/>
      <c r="E61" s="1276" t="str">
        <f t="shared" si="2"/>
        <v>다군전체</v>
      </c>
      <c r="F61" s="1277"/>
      <c r="G61" s="1278">
        <f>G60*10/9</f>
        <v>846</v>
      </c>
      <c r="H61" s="1279"/>
      <c r="I61" s="1280"/>
      <c r="J61" s="1271" t="str">
        <f t="shared" si="1"/>
        <v>수능100%</v>
      </c>
      <c r="K61" s="1272"/>
      <c r="L61" s="1348"/>
    </row>
    <row r="62" spans="1:19" s="9" customFormat="1" ht="20.100000000000001" customHeight="1">
      <c r="A62" s="1348"/>
      <c r="B62" s="1273" t="s">
        <v>79</v>
      </c>
      <c r="C62" s="1274"/>
      <c r="D62" s="1275"/>
      <c r="E62" s="1276" t="str">
        <f t="shared" si="2"/>
        <v>가군전체</v>
      </c>
      <c r="F62" s="1277"/>
      <c r="G62" s="1278">
        <f>VLOOKUP($B62,계산도구!$A$2:$G$527,4,FALSE)+VLOOKUP($B62,계산도구!$A$2:$G$527,5,FALSE)+VLOOKUP($B62,계산도구!$A$2:$G$527,6,FALSE)+VLOOKUP($B62,계산도구!$A$2:$G$527,7,FALSE)</f>
        <v>392</v>
      </c>
      <c r="H62" s="1279"/>
      <c r="I62" s="1280"/>
      <c r="J62" s="1271" t="str">
        <f t="shared" si="1"/>
        <v>+학생부</v>
      </c>
      <c r="K62" s="1272"/>
      <c r="L62" s="1348"/>
      <c r="M62" s="63"/>
      <c r="N62" s="63"/>
      <c r="O62" s="63"/>
      <c r="P62" s="63"/>
      <c r="Q62" s="63"/>
      <c r="R62" s="63"/>
      <c r="S62" s="63"/>
    </row>
    <row r="63" spans="1:19" s="9" customFormat="1" ht="20.100000000000001" customHeight="1">
      <c r="A63" s="1348"/>
      <c r="B63" s="1273" t="s">
        <v>80</v>
      </c>
      <c r="C63" s="1274"/>
      <c r="D63" s="1275"/>
      <c r="E63" s="1276" t="str">
        <f t="shared" si="2"/>
        <v>가군기초의약과학</v>
      </c>
      <c r="F63" s="1277"/>
      <c r="G63" s="1278">
        <f>VLOOKUP($B63,계산도구!$A$2:$G$527,4,FALSE)+VLOOKUP($B63,계산도구!$A$2:$G$527,5,FALSE)+VLOOKUP($B63,계산도구!$A$2:$G$527,6,FALSE)+VLOOKUP($B63,계산도구!$A$2:$G$527,7,FALSE)</f>
        <v>398.25</v>
      </c>
      <c r="H63" s="1279"/>
      <c r="I63" s="1280"/>
      <c r="J63" s="1271" t="str">
        <f t="shared" si="1"/>
        <v>+학생부</v>
      </c>
      <c r="K63" s="1272"/>
      <c r="L63" s="1348"/>
      <c r="M63" s="63"/>
      <c r="N63" s="63"/>
      <c r="O63" s="63"/>
      <c r="P63" s="63"/>
      <c r="Q63" s="63"/>
      <c r="R63" s="63"/>
      <c r="S63" s="63"/>
    </row>
    <row r="64" spans="1:19" s="1157" customFormat="1" ht="20.100000000000001" customHeight="1">
      <c r="A64" s="1348"/>
      <c r="B64" s="1273" t="s">
        <v>418</v>
      </c>
      <c r="C64" s="1274"/>
      <c r="D64" s="1275"/>
      <c r="E64" s="1276" t="str">
        <f t="shared" si="2"/>
        <v>다군공대</v>
      </c>
      <c r="F64" s="1277"/>
      <c r="G64" s="1278">
        <f>G62*8/5</f>
        <v>627.20000000000005</v>
      </c>
      <c r="H64" s="1279"/>
      <c r="I64" s="1280"/>
      <c r="J64" s="1271" t="str">
        <f t="shared" si="1"/>
        <v>수능100%</v>
      </c>
      <c r="K64" s="1272"/>
      <c r="L64" s="1348"/>
    </row>
    <row r="65" spans="1:19" s="1157" customFormat="1" ht="20.100000000000001" customHeight="1">
      <c r="A65" s="1348"/>
      <c r="B65" s="1273" t="s">
        <v>419</v>
      </c>
      <c r="C65" s="1274"/>
      <c r="D65" s="1275"/>
      <c r="E65" s="1276" t="str">
        <f t="shared" si="2"/>
        <v>다군기초의약과학</v>
      </c>
      <c r="F65" s="1277"/>
      <c r="G65" s="1278">
        <f>G63*8/5</f>
        <v>637.20000000000005</v>
      </c>
      <c r="H65" s="1279"/>
      <c r="I65" s="1280"/>
      <c r="J65" s="1271" t="str">
        <f t="shared" si="1"/>
        <v>수능100%</v>
      </c>
      <c r="K65" s="1272"/>
      <c r="L65" s="1348"/>
    </row>
    <row r="66" spans="1:19" s="9" customFormat="1" ht="20.100000000000001" customHeight="1">
      <c r="A66" s="1348"/>
      <c r="B66" s="1273" t="s">
        <v>81</v>
      </c>
      <c r="C66" s="1274"/>
      <c r="D66" s="1275"/>
      <c r="E66" s="1276" t="str">
        <f t="shared" si="2"/>
        <v>수학,전자물리,화학</v>
      </c>
      <c r="F66" s="1277"/>
      <c r="G66" s="1278">
        <f>VLOOKUP($B66,계산도구!$A$2:$G$527,4,FALSE)+VLOOKUP($B66,계산도구!$A$2:$G$527,5,FALSE)+VLOOKUP($B66,계산도구!$A$2:$G$527,6,FALSE)+VLOOKUP($B66,계산도구!$A$2:$G$527,7,FALSE)</f>
        <v>486.8</v>
      </c>
      <c r="H66" s="1279"/>
      <c r="I66" s="1280"/>
      <c r="J66" s="1271" t="str">
        <f t="shared" si="1"/>
        <v>+학생부</v>
      </c>
      <c r="K66" s="1272"/>
      <c r="L66" s="1348"/>
      <c r="M66" s="63"/>
      <c r="N66" s="63"/>
      <c r="O66" s="63"/>
      <c r="P66" s="63"/>
      <c r="Q66" s="63"/>
      <c r="R66" s="63"/>
      <c r="S66" s="63"/>
    </row>
    <row r="67" spans="1:19" s="9" customFormat="1" ht="20.100000000000001" customHeight="1">
      <c r="A67" s="1348"/>
      <c r="B67" s="1273" t="s">
        <v>82</v>
      </c>
      <c r="C67" s="1274"/>
      <c r="D67" s="1275"/>
      <c r="E67" s="1276" t="str">
        <f t="shared" si="2"/>
        <v>건축</v>
      </c>
      <c r="F67" s="1277"/>
      <c r="G67" s="1278">
        <f>VLOOKUP($B67,계산도구!$A$2:$G$527,4,FALSE)+VLOOKUP($B67,계산도구!$A$2:$G$527,5,FALSE)+VLOOKUP($B67,계산도구!$A$2:$G$527,6,FALSE)+VLOOKUP($B67,계산도구!$A$2:$G$527,7,FALSE)</f>
        <v>469.2</v>
      </c>
      <c r="H67" s="1279"/>
      <c r="I67" s="1280"/>
      <c r="J67" s="1271" t="str">
        <f t="shared" si="1"/>
        <v>+학생부</v>
      </c>
      <c r="K67" s="1272"/>
      <c r="L67" s="1348"/>
      <c r="M67" s="63"/>
      <c r="N67" s="63"/>
      <c r="O67" s="63"/>
      <c r="P67" s="63"/>
      <c r="Q67" s="63"/>
      <c r="R67" s="63"/>
      <c r="S67" s="63"/>
    </row>
    <row r="68" spans="1:19" s="9" customFormat="1" ht="20.100000000000001" customHeight="1">
      <c r="A68" s="1348"/>
      <c r="B68" s="1273" t="s">
        <v>83</v>
      </c>
      <c r="C68" s="1274"/>
      <c r="D68" s="1275"/>
      <c r="E68" s="1276" t="str">
        <f t="shared" si="2"/>
        <v>기타전체</v>
      </c>
      <c r="F68" s="1277"/>
      <c r="G68" s="1278">
        <f>VLOOKUP($B68,계산도구!$A$2:$G$527,4,FALSE)+VLOOKUP($B68,계산도구!$A$2:$G$527,5,FALSE)+VLOOKUP($B68,계산도구!$A$2:$G$527,6,FALSE)+VLOOKUP($B68,계산도구!$A$2:$G$527,7,FALSE)</f>
        <v>491.8</v>
      </c>
      <c r="H68" s="1279"/>
      <c r="I68" s="1280"/>
      <c r="J68" s="1286" t="str">
        <f t="shared" si="1"/>
        <v>+학생부</v>
      </c>
      <c r="K68" s="1287"/>
      <c r="L68" s="1348"/>
      <c r="M68" s="63"/>
      <c r="N68" s="63"/>
      <c r="O68" s="63"/>
      <c r="P68" s="63"/>
      <c r="Q68" s="63"/>
      <c r="R68" s="63"/>
      <c r="S68" s="63"/>
    </row>
    <row r="69" spans="1:19" s="9" customFormat="1" ht="20.100000000000001" customHeight="1">
      <c r="A69" s="1348"/>
      <c r="B69" s="1273" t="s">
        <v>199</v>
      </c>
      <c r="C69" s="1274"/>
      <c r="D69" s="1275"/>
      <c r="E69" s="1276" t="str">
        <f t="shared" si="2"/>
        <v>전체</v>
      </c>
      <c r="F69" s="1277"/>
      <c r="G69" s="1278">
        <f>VLOOKUP($B69,계산도구!$A$2:$G$527,4,FALSE)+VLOOKUP($B69,계산도구!$A$2:$G$527,5,FALSE)+VLOOKUP($B69,계산도구!$A$2:$G$527,6,FALSE)+VLOOKUP($B69,계산도구!$A$2:$G$527,7,FALSE)</f>
        <v>532.35</v>
      </c>
      <c r="H69" s="1279"/>
      <c r="I69" s="1280"/>
      <c r="J69" s="1286">
        <f t="shared" si="1"/>
        <v>591.5</v>
      </c>
      <c r="K69" s="1287"/>
      <c r="L69" s="1348"/>
      <c r="M69" s="63"/>
      <c r="N69" s="63"/>
      <c r="O69" s="63"/>
      <c r="P69" s="63"/>
      <c r="Q69" s="63"/>
      <c r="R69" s="63"/>
      <c r="S69" s="63"/>
    </row>
    <row r="70" spans="1:19" s="400" customFormat="1" ht="20.100000000000001" customHeight="1">
      <c r="A70" s="1348"/>
      <c r="B70" s="1273" t="s">
        <v>200</v>
      </c>
      <c r="C70" s="1274"/>
      <c r="D70" s="1275"/>
      <c r="E70" s="1276" t="str">
        <f t="shared" si="2"/>
        <v>의류,외식,소비자주거</v>
      </c>
      <c r="F70" s="1277"/>
      <c r="G70" s="1278">
        <f>VLOOKUP($B70,계산도구!$A$2:$G$527,4,FALSE)+VLOOKUP($B70,계산도구!$A$2:$G$527,5,FALSE)+VLOOKUP($B70,계산도구!$A$2:$G$527,6,FALSE)+VLOOKUP($B70,계산도구!$A$2:$G$527,7,FALSE)</f>
        <v>546.97500000000002</v>
      </c>
      <c r="H70" s="1279"/>
      <c r="I70" s="1280"/>
      <c r="J70" s="1286">
        <f t="shared" si="1"/>
        <v>607.75</v>
      </c>
      <c r="K70" s="1287"/>
      <c r="L70" s="1348"/>
    </row>
    <row r="71" spans="1:19" s="9" customFormat="1" ht="20.100000000000001" customHeight="1">
      <c r="A71" s="1348"/>
      <c r="B71" s="1273" t="s">
        <v>85</v>
      </c>
      <c r="C71" s="1274"/>
      <c r="D71" s="1275"/>
      <c r="E71" s="1276" t="str">
        <f t="shared" si="2"/>
        <v>전체</v>
      </c>
      <c r="F71" s="1277"/>
      <c r="G71" s="1278">
        <f>VLOOKUP($B71,계산도구!$A$2:$G$527,4,FALSE)+VLOOKUP($B71,계산도구!$A$2:$G$527,5,FALSE)+VLOOKUP($B71,계산도구!$A$2:$G$527,6,FALSE)+VLOOKUP($B71,계산도구!$A$2:$G$527,7,FALSE)</f>
        <v>582.30097228726152</v>
      </c>
      <c r="H71" s="1279"/>
      <c r="I71" s="1280"/>
      <c r="J71" s="1286" t="str">
        <f t="shared" ref="J71:J72" si="3">IF(OR(B71="항공대"),G71*10/6,IF(OR(B71="상명대1",B71="상명대2"),G71*10/9,IF(OR(B71="한양대1",B71="중앙대1",B71="건국대1",B71="동국대5",B71="동국대6",B71="동국대7",B71="동국대8",B71="홍익대2",B71="홍익대3",B71="숙명여대1",B71="국민대1",B71="단국대4",B71="단국대5",B71="단국대6",B71="아주대3",B71="아주대4",B71="한성대1",B71="삼육대3",B71="삼육대4",B71="가톨릭3",B71="가톨릭4"),"수능100%","+학생부")))</f>
        <v>+학생부</v>
      </c>
      <c r="K71" s="1287"/>
      <c r="L71" s="1348"/>
      <c r="M71" s="63"/>
      <c r="N71" s="63"/>
      <c r="O71" s="63"/>
      <c r="P71" s="63"/>
      <c r="Q71" s="63"/>
      <c r="R71" s="63"/>
      <c r="S71" s="63"/>
    </row>
    <row r="72" spans="1:19" s="9" customFormat="1" ht="20.100000000000001" customHeight="1">
      <c r="A72" s="1348"/>
      <c r="B72" s="1321" t="s">
        <v>86</v>
      </c>
      <c r="C72" s="1322"/>
      <c r="D72" s="1323"/>
      <c r="E72" s="1276" t="str">
        <f t="shared" si="2"/>
        <v>간호</v>
      </c>
      <c r="F72" s="1277"/>
      <c r="G72" s="1341">
        <f>VLOOKUP($B72,계산도구!$A$2:$G$527,4,FALSE)+VLOOKUP($B72,계산도구!$A$2:$G$527,5,FALSE)+VLOOKUP($B72,계산도구!$A$2:$G$527,6,FALSE)+VLOOKUP($B72,계산도구!$A$2:$G$527,7,FALSE)</f>
        <v>579.0823732534451</v>
      </c>
      <c r="H72" s="1342"/>
      <c r="I72" s="1343"/>
      <c r="J72" s="1286" t="str">
        <f t="shared" si="3"/>
        <v>+학생부</v>
      </c>
      <c r="K72" s="1287"/>
      <c r="L72" s="1348"/>
      <c r="M72" s="63"/>
      <c r="N72" s="63"/>
      <c r="O72" s="63"/>
      <c r="P72" s="63"/>
      <c r="Q72" s="63"/>
      <c r="R72" s="63"/>
      <c r="S72" s="63"/>
    </row>
    <row r="73" spans="1:19" s="1157" customFormat="1" ht="20.100000000000001" customHeight="1">
      <c r="A73" s="1348"/>
      <c r="B73" s="1273" t="s">
        <v>424</v>
      </c>
      <c r="C73" s="1274"/>
      <c r="D73" s="1275"/>
      <c r="E73" s="1276" t="str">
        <f t="shared" si="2"/>
        <v>전체-가군우선,다군</v>
      </c>
      <c r="F73" s="1277"/>
      <c r="G73" s="1278">
        <f>G71*10/7</f>
        <v>831.85853183894505</v>
      </c>
      <c r="H73" s="1279"/>
      <c r="I73" s="1280"/>
      <c r="J73" s="1286" t="str">
        <f>IF(OR(B73="항공대"),G73*10/6,IF(OR(B73="상명대1",B73="상명대2"),G73*10/9,IF(OR(B73="한양대1",B73="중앙대1",B73="건국대1",B73="동국대5",B73="동국대6",B73="동국대7",B73="동국대8",B73="홍익대2",B73="홍익대3",B73="숙명여대1",B73="국민대1",B73="단국대4",B73="단국대5",B73="단국대6",B73="아주대3",B73="아주대4",B73="한성대1",B73="삼육대3",B73="삼육대4",B73="가톨릭3",B73="가톨릭4"),"수능100%","+학생부")))</f>
        <v>수능100%</v>
      </c>
      <c r="K73" s="1287"/>
      <c r="L73" s="1348"/>
    </row>
    <row r="74" spans="1:19" s="1157" customFormat="1" ht="20.100000000000001" customHeight="1" thickBot="1">
      <c r="A74" s="1348"/>
      <c r="B74" s="1391" t="s">
        <v>425</v>
      </c>
      <c r="C74" s="1392"/>
      <c r="D74" s="1393"/>
      <c r="E74" s="1394" t="str">
        <f t="shared" si="2"/>
        <v>간호-가군우선,나군</v>
      </c>
      <c r="F74" s="1395"/>
      <c r="G74" s="1278">
        <f>G72*10/7</f>
        <v>827.26053321920722</v>
      </c>
      <c r="H74" s="1279"/>
      <c r="I74" s="1280"/>
      <c r="J74" s="1311" t="str">
        <f t="shared" ref="J74" si="4">IF(OR(B74="항공대"),G74*10/6,IF(OR(B74="상명대1",B74="상명대2"),G74*10/9,IF(OR(B74="한양대1",B74="중앙대1",B74="건국대1",B74="동국대5",B74="동국대6",B74="동국대7",B74="동국대8",B74="홍익대2",B74="홍익대3",B74="숙명여대1",B74="국민대1",B74="단국대4",B74="단국대5",B74="단국대6",B74="아주대3",B74="아주대4",B74="한성대1",B74="삼육대3",B74="삼육대4",B74="가톨릭3",B74="가톨릭4"),"수능100%","+학생부")))</f>
        <v>수능100%</v>
      </c>
      <c r="K74" s="1312"/>
      <c r="L74" s="1348"/>
    </row>
    <row r="75" spans="1:19" s="917" customFormat="1" ht="20.100000000000001" customHeight="1" thickBot="1">
      <c r="A75" s="1348"/>
      <c r="B75" s="1281" t="s">
        <v>337</v>
      </c>
      <c r="C75" s="1282"/>
      <c r="D75" s="1282"/>
      <c r="E75" s="1282"/>
      <c r="F75" s="1282"/>
      <c r="G75" s="1282"/>
      <c r="H75" s="1282"/>
      <c r="I75" s="1282"/>
      <c r="J75" s="1282"/>
      <c r="K75" s="1283"/>
      <c r="L75" s="1348"/>
    </row>
    <row r="76" spans="1:19" s="917" customFormat="1" ht="20.100000000000001" customHeight="1">
      <c r="A76" s="1348"/>
      <c r="B76" s="1291" t="s">
        <v>65</v>
      </c>
      <c r="C76" s="1292"/>
      <c r="D76" s="1293"/>
      <c r="E76" s="1294" t="str">
        <f t="shared" ref="E76:E86" si="5">IF(B76="경원대1","바이오나노",IF(B76="경원대3","간호",IF(B76="경희대국제1","공대,주요학부",IF(B76="경희대국제2","식품,부수학부",IF(B76="외대용인2","수학과",IF(B76="한양대안산","가군전체",IF(B76="한양대안산1","가우선,나다군전체",IF(B76="중앙대안성","가군전체",IF(B76="중앙대안성1","나군전체",IF(B76="경기대","가군전체",IF(B76="경기대1","다군전체",IF(B76="수원대2","생활과학대",IF(B76="안양대","나군전체",IF(B76="안양대1","다군전체",IF(B76="충북대1","가)수학,수교,통계,수-의예",IF(B76="충북대2","가)나형지원가능잔여학과",IF(B76="충북대3","나)수학,수교,통계,수-의예",IF(B76="충북대4","나)나형지원가능잔여학과",IF(B76="경상대","가군전체",IF(B76="경상대1","다군전체",IF(B76="부산대2","생활환경,생명자원",IF(B76="전남대1","나)의예,수의예,공대등",IF(B76="전남대2","나)간호,농생명일부",IF(B76="전남대3","나)간호,생명계열",IF(B76="전남대4","나)수학,생활,농생명일부",IF(B76="전남대5","가)의예,수의예,공대등",IF(B76="전남대6","가)간호,농생명일부",IF(B76="전남대7","가)간호,생명계열",IF(B76="전남대8","가)수학,생활,농생명일부",IF(B76="항공대","나군 기계,전자,재료",IF(B76="항공대1","다군 기계,전자,재료","전체")))))))))))))))))))))))))))))))</f>
        <v>나군 기계,전자,재료</v>
      </c>
      <c r="F76" s="1295"/>
      <c r="G76" s="1296">
        <f>VLOOKUP($B76,계산도구!$A$2:$G$527,4,FALSE)+VLOOKUP($B76,계산도구!$A$2:$G$527,5,FALSE)+VLOOKUP($B76,계산도구!$A$2:$G$527,6,FALSE)+VLOOKUP($B76,계산도구!$A$2:$G$527,7,FALSE)</f>
        <v>367.875</v>
      </c>
      <c r="H76" s="1297"/>
      <c r="I76" s="1298"/>
      <c r="J76" s="1299" t="str">
        <f t="shared" ref="J76:J110" si="6">IF(OR(B76="항공대1",B76="한양대안산1",B76="중앙대안성1",B76="경기대1",B76="안양대1",B76="충북대3",B76="충북대4",B76="경상대1",B76="전남대5",B76="전남대6",B76="전남대7",B76="전남대8"),"수능100%","+학생부")</f>
        <v>+학생부</v>
      </c>
      <c r="K76" s="1300"/>
      <c r="L76" s="1348"/>
    </row>
    <row r="77" spans="1:19" s="1157" customFormat="1" ht="20.100000000000001" customHeight="1">
      <c r="A77" s="1348"/>
      <c r="B77" s="1273" t="s">
        <v>427</v>
      </c>
      <c r="C77" s="1274"/>
      <c r="D77" s="1275"/>
      <c r="E77" s="1276" t="str">
        <f t="shared" si="5"/>
        <v>다군 기계,전자,재료</v>
      </c>
      <c r="F77" s="1277"/>
      <c r="G77" s="1278">
        <f>G76*10/6</f>
        <v>613.125</v>
      </c>
      <c r="H77" s="1279"/>
      <c r="I77" s="1280"/>
      <c r="J77" s="1286" t="str">
        <f t="shared" si="6"/>
        <v>수능100%</v>
      </c>
      <c r="K77" s="1287"/>
      <c r="L77" s="1348"/>
    </row>
    <row r="78" spans="1:19" s="1152" customFormat="1" ht="20.100000000000001" customHeight="1">
      <c r="A78" s="1348"/>
      <c r="B78" s="1273" t="s">
        <v>392</v>
      </c>
      <c r="C78" s="1274"/>
      <c r="D78" s="1275"/>
      <c r="E78" s="1276" t="str">
        <f t="shared" si="5"/>
        <v>바이오나노</v>
      </c>
      <c r="F78" s="1277"/>
      <c r="G78" s="1278">
        <f>VLOOKUP($B78,계산도구!$A$2:$G$527,4,FALSE)+VLOOKUP($B78,계산도구!$A$2:$G$527,5,FALSE)+VLOOKUP($B78,계산도구!$A$2:$G$527,6,FALSE)+VLOOKUP($B78,계산도구!$A$2:$G$527,7,FALSE)</f>
        <v>782.875</v>
      </c>
      <c r="H78" s="1279"/>
      <c r="I78" s="1280"/>
      <c r="J78" s="1286" t="str">
        <f t="shared" si="6"/>
        <v>+학생부</v>
      </c>
      <c r="K78" s="1287"/>
      <c r="L78" s="1348"/>
    </row>
    <row r="79" spans="1:19" s="1152" customFormat="1" ht="20.100000000000001" customHeight="1">
      <c r="A79" s="1348"/>
      <c r="B79" s="1273" t="s">
        <v>393</v>
      </c>
      <c r="C79" s="1274"/>
      <c r="D79" s="1275"/>
      <c r="E79" s="1276" t="str">
        <f t="shared" si="5"/>
        <v>전체</v>
      </c>
      <c r="F79" s="1277"/>
      <c r="G79" s="1278">
        <f>VLOOKUP($B79,계산도구!$A$2:$G$527,4,FALSE)+VLOOKUP($B79,계산도구!$A$2:$G$527,5,FALSE)+VLOOKUP($B79,계산도구!$A$2:$G$527,6,FALSE)+VLOOKUP($B79,계산도구!$A$2:$G$527,7,FALSE)</f>
        <v>778.48</v>
      </c>
      <c r="H79" s="1279"/>
      <c r="I79" s="1280"/>
      <c r="J79" s="1286" t="str">
        <f t="shared" si="6"/>
        <v>+학생부</v>
      </c>
      <c r="K79" s="1287"/>
      <c r="L79" s="1348"/>
    </row>
    <row r="80" spans="1:19" s="1152" customFormat="1" ht="20.100000000000001" customHeight="1">
      <c r="A80" s="1348"/>
      <c r="B80" s="1333" t="s">
        <v>394</v>
      </c>
      <c r="C80" s="1344"/>
      <c r="D80" s="1335"/>
      <c r="E80" s="1276" t="str">
        <f t="shared" si="5"/>
        <v>간호</v>
      </c>
      <c r="F80" s="1277"/>
      <c r="G80" s="1345">
        <f>VLOOKUP($B80,계산도구!$A$2:$G$527,4,FALSE)+VLOOKUP($B80,계산도구!$A$2:$G$527,5,FALSE)+VLOOKUP($B80,계산도구!$A$2:$G$527,6,FALSE)+VLOOKUP($B80,계산도구!$A$2:$G$527,7,FALSE)</f>
        <v>782.27499999999998</v>
      </c>
      <c r="H80" s="1346"/>
      <c r="I80" s="1347"/>
      <c r="J80" s="1286" t="str">
        <f t="shared" si="6"/>
        <v>+학생부</v>
      </c>
      <c r="K80" s="1287"/>
      <c r="L80" s="1348"/>
    </row>
    <row r="81" spans="1:12" s="917" customFormat="1" ht="20.100000000000001" customHeight="1">
      <c r="A81" s="1348"/>
      <c r="B81" s="1333" t="s">
        <v>140</v>
      </c>
      <c r="C81" s="1334"/>
      <c r="D81" s="1335"/>
      <c r="E81" s="1276" t="str">
        <f t="shared" si="5"/>
        <v>공대,주요학부</v>
      </c>
      <c r="F81" s="1277"/>
      <c r="G81" s="1345">
        <f>VLOOKUP($B81,계산도구!$A$2:$G$527,4,FALSE)+VLOOKUP($B81,계산도구!$A$2:$G$527,5,FALSE)+VLOOKUP($B81,계산도구!$A$2:$G$527,6,FALSE)+VLOOKUP($B81,계산도구!$A$2:$G$527,7,FALSE)</f>
        <v>575.10406535547475</v>
      </c>
      <c r="H81" s="1346"/>
      <c r="I81" s="1347"/>
      <c r="J81" s="1271" t="str">
        <f t="shared" si="6"/>
        <v>+학생부</v>
      </c>
      <c r="K81" s="1272"/>
      <c r="L81" s="1348"/>
    </row>
    <row r="82" spans="1:12" s="917" customFormat="1" ht="20.100000000000001" customHeight="1">
      <c r="A82" s="1348"/>
      <c r="B82" s="1273" t="s">
        <v>141</v>
      </c>
      <c r="C82" s="1288"/>
      <c r="D82" s="1275"/>
      <c r="E82" s="1276" t="str">
        <f t="shared" si="5"/>
        <v>식품,부수학부</v>
      </c>
      <c r="F82" s="1277"/>
      <c r="G82" s="1278">
        <f>VLOOKUP($B82,계산도구!$A$2:$G$527,4,FALSE)+VLOOKUP($B82,계산도구!$A$2:$G$527,5,FALSE)+VLOOKUP($B82,계산도구!$A$2:$G$527,6,FALSE)+VLOOKUP($B82,계산도구!$A$2:$G$527,7,FALSE)</f>
        <v>572.33800340405605</v>
      </c>
      <c r="H82" s="1279"/>
      <c r="I82" s="1280"/>
      <c r="J82" s="1271" t="str">
        <f t="shared" si="6"/>
        <v>+학생부</v>
      </c>
      <c r="K82" s="1272"/>
      <c r="L82" s="1348"/>
    </row>
    <row r="83" spans="1:12" s="917" customFormat="1" ht="20.100000000000001" customHeight="1">
      <c r="A83" s="1348"/>
      <c r="B83" s="1273" t="s">
        <v>235</v>
      </c>
      <c r="C83" s="1274"/>
      <c r="D83" s="1275"/>
      <c r="E83" s="1276" t="str">
        <f t="shared" si="5"/>
        <v>전체</v>
      </c>
      <c r="F83" s="1277"/>
      <c r="G83" s="1278">
        <f>VLOOKUP($B83,계산도구!$A$2:$G$527,4,FALSE)+VLOOKUP($B83,계산도구!$A$2:$G$527,5,FALSE)+VLOOKUP($B83,계산도구!$A$2:$G$527,6,FALSE)+VLOOKUP($B83,계산도구!$A$2:$G$527,7,FALSE)</f>
        <v>499.52334754797442</v>
      </c>
      <c r="H83" s="1279"/>
      <c r="I83" s="1280"/>
      <c r="J83" s="1271" t="str">
        <f t="shared" si="6"/>
        <v>+학생부</v>
      </c>
      <c r="K83" s="1272"/>
      <c r="L83" s="1348"/>
    </row>
    <row r="84" spans="1:12" s="917" customFormat="1" ht="20.100000000000001" customHeight="1">
      <c r="A84" s="1348"/>
      <c r="B84" s="1273" t="s">
        <v>236</v>
      </c>
      <c r="C84" s="1274"/>
      <c r="D84" s="1275"/>
      <c r="E84" s="1276" t="str">
        <f t="shared" si="5"/>
        <v>수학과</v>
      </c>
      <c r="F84" s="1277"/>
      <c r="G84" s="1278">
        <f>VLOOKUP($B84,계산도구!$A$2:$G$527,4,FALSE)+VLOOKUP($B84,계산도구!$A$2:$G$527,5,FALSE)+VLOOKUP($B84,계산도구!$A$2:$G$527,6,FALSE)+VLOOKUP($B84,계산도구!$A$2:$G$527,7,FALSE)</f>
        <v>484.12334754797445</v>
      </c>
      <c r="H84" s="1279"/>
      <c r="I84" s="1280"/>
      <c r="J84" s="1271" t="str">
        <f t="shared" si="6"/>
        <v>+학생부</v>
      </c>
      <c r="K84" s="1272"/>
      <c r="L84" s="1348"/>
    </row>
    <row r="85" spans="1:12" s="917" customFormat="1" ht="20.100000000000001" customHeight="1">
      <c r="A85" s="1348"/>
      <c r="B85" s="1273" t="s">
        <v>339</v>
      </c>
      <c r="C85" s="1274"/>
      <c r="D85" s="1275"/>
      <c r="E85" s="1276" t="str">
        <f t="shared" si="5"/>
        <v>가군전체</v>
      </c>
      <c r="F85" s="1277"/>
      <c r="G85" s="1278">
        <f>VLOOKUP($B85,계산도구!$A$2:$G$527,4,FALSE)+VLOOKUP($B85,계산도구!$A$2:$G$527,5,FALSE)+VLOOKUP($B85,계산도구!$A$2:$G$527,6,FALSE)+VLOOKUP($B85,계산도구!$A$2:$G$527,7,FALSE)</f>
        <v>575.40939076644668</v>
      </c>
      <c r="H85" s="1279"/>
      <c r="I85" s="1280"/>
      <c r="J85" s="1271" t="str">
        <f t="shared" si="6"/>
        <v>+학생부</v>
      </c>
      <c r="K85" s="1272"/>
      <c r="L85" s="1348"/>
    </row>
    <row r="86" spans="1:12" s="1206" customFormat="1" ht="20.100000000000001" customHeight="1">
      <c r="A86" s="1348"/>
      <c r="B86" s="1273" t="s">
        <v>443</v>
      </c>
      <c r="C86" s="1274"/>
      <c r="D86" s="1275"/>
      <c r="E86" s="1276" t="str">
        <f t="shared" si="5"/>
        <v>가우선,나다군전체</v>
      </c>
      <c r="F86" s="1277"/>
      <c r="G86" s="1278">
        <f>G85*10/7</f>
        <v>822.01341538063809</v>
      </c>
      <c r="H86" s="1279"/>
      <c r="I86" s="1280"/>
      <c r="J86" s="1271" t="str">
        <f t="shared" si="6"/>
        <v>수능100%</v>
      </c>
      <c r="K86" s="1272"/>
      <c r="L86" s="1348"/>
    </row>
    <row r="87" spans="1:12" s="917" customFormat="1" ht="20.100000000000001" customHeight="1">
      <c r="A87" s="1348"/>
      <c r="B87" s="1273" t="s">
        <v>340</v>
      </c>
      <c r="C87" s="1274"/>
      <c r="D87" s="1275"/>
      <c r="E87" s="1276" t="str">
        <f>IF(B87="경원대1","바이오나노",IF(B87="경원대3","간호",IF(B87="경희대국제1","공대,주요학부",IF(B87="경희대국제2","식품,부수학부",IF(B87="외대용인2","수학과",IF(B87="한양대안산","가군전체",IF(B87="한양대안산1","가우선,나다군전체",IF(B87="중앙대안성","가군전체",IF(B87="중앙대안성1","나군전체",IF(B87="경기대","가군전체",IF(B87="경기대1","다군전체",IF(B87="수원대2","생활과학대",IF(B87="안양대","나군전체",IF(B87="안양대1","다군전체",IF(B87="충북대1","가)수학,수교,통계,수-의예",IF(B87="충북대2","가)나형지원가능잔여학과",IF(B87="충북대3","나)수학,수교,통계,수-의예",IF(B87="충북대4","나)나형지원가능잔여학과",IF(B87="경상대","가군전체",IF(B87="경상대1","다군전체",IF(B87="부산대2","생활환경,생명자원",IF(B87="전남대1","나)의예,수의예,공대등",IF(B87="전남대2","나)간호,농생명일부",IF(B87="전남대3","나)간호,생명계열",IF(B87="전남대4","나)수학,생활,농생명일부",IF(B87="전남대5","가)의예,수의예,공대등",IF(B87="전남대6","가)간호,농생명일부",IF(B87="전남대7","가)간호,생명계열",IF(B87="전남대8","가)수학,생활,농생명일부",IF(B87="항공대","나군 기계,전자,재료",IF(B87="항공대1","다군 기계,전자,재료","전체")))))))))))))))))))))))))))))))</f>
        <v>가군전체</v>
      </c>
      <c r="F87" s="1277"/>
      <c r="G87" s="1278">
        <f>VLOOKUP($B87,계산도구!$A$2:$G$527,4,FALSE)+VLOOKUP($B87,계산도구!$A$2:$G$527,5,FALSE)+VLOOKUP($B87,계산도구!$A$2:$G$527,6,FALSE)+VLOOKUP($B87,계산도구!$A$2:$G$527,7,FALSE)</f>
        <v>571.44100000000003</v>
      </c>
      <c r="H87" s="1279"/>
      <c r="I87" s="1280"/>
      <c r="J87" s="1271" t="str">
        <f t="shared" si="6"/>
        <v>+학생부</v>
      </c>
      <c r="K87" s="1272"/>
      <c r="L87" s="1348"/>
    </row>
    <row r="88" spans="1:12" s="1206" customFormat="1" ht="20.100000000000001" customHeight="1">
      <c r="A88" s="1348"/>
      <c r="B88" s="1273" t="s">
        <v>444</v>
      </c>
      <c r="C88" s="1274"/>
      <c r="D88" s="1275"/>
      <c r="E88" s="1276" t="str">
        <f t="shared" ref="E88:E114" si="7">IF(B88="경원대1","바이오나노",IF(B88="경원대3","간호",IF(B88="경희대국제1","공대,주요학부",IF(B88="경희대국제2","식품,부수학부",IF(B88="외대용인2","수학과",IF(B88="한양대안산","가군전체",IF(B88="한양대안산1","가우선,나다군전체",IF(B88="중앙대안성","가군전체",IF(B88="중앙대안성1","나군전체",IF(B88="경기대","가군전체",IF(B88="경기대1","다군전체",IF(B88="수원대2","생활과학대",IF(B88="안양대","나군전체",IF(B88="안양대1","다군전체",IF(B88="충북대1","가)수학,수교,통계,수-의예",IF(B88="충북대2","가)나형지원가능잔여학과",IF(B88="충북대3","나)수학,수교,통계,수-의예",IF(B88="충북대4","나)나형지원가능잔여학과",IF(B88="경상대","가군전체",IF(B88="경상대1","다군전체",IF(B88="부산대2","생활환경,생명자원",IF(B88="전남대1","나)의예,수의예,공대등",IF(B88="전남대2","나)간호,농생명일부",IF(B88="전남대3","나)간호,생명계열",IF(B88="전남대4","나)수학,생활,농생명일부",IF(B88="전남대5","가)의예,수의예,공대등",IF(B88="전남대6","가)간호,농생명일부",IF(B88="전남대7","가)간호,생명계열",IF(B88="전남대8","가)수학,생활,농생명일부",IF(B88="항공대","나군 기계,전자,재료",IF(B88="항공대1","다군 기계,전자,재료","전체")))))))))))))))))))))))))))))))</f>
        <v>나군전체</v>
      </c>
      <c r="F88" s="1277"/>
      <c r="G88" s="1278">
        <f>G87*10/7</f>
        <v>816.34428571428566</v>
      </c>
      <c r="H88" s="1279"/>
      <c r="I88" s="1280"/>
      <c r="J88" s="1271" t="str">
        <f t="shared" si="6"/>
        <v>수능100%</v>
      </c>
      <c r="K88" s="1272"/>
      <c r="L88" s="1348"/>
    </row>
    <row r="89" spans="1:12" s="917" customFormat="1" ht="20.100000000000001" customHeight="1">
      <c r="A89" s="1348"/>
      <c r="B89" s="1273" t="s">
        <v>341</v>
      </c>
      <c r="C89" s="1274"/>
      <c r="D89" s="1275"/>
      <c r="E89" s="1276" t="str">
        <f t="shared" si="7"/>
        <v>가군전체</v>
      </c>
      <c r="F89" s="1277"/>
      <c r="G89" s="1278">
        <f>VLOOKUP($B89,계산도구!$A$2:$G$527,4,FALSE)+VLOOKUP($B89,계산도구!$A$2:$G$527,5,FALSE)+VLOOKUP($B89,계산도구!$A$2:$G$527,6,FALSE)+VLOOKUP($B89,계산도구!$A$2:$G$527,7,FALSE)</f>
        <v>388.75</v>
      </c>
      <c r="H89" s="1279"/>
      <c r="I89" s="1280"/>
      <c r="J89" s="1271" t="str">
        <f t="shared" si="6"/>
        <v>+학생부</v>
      </c>
      <c r="K89" s="1272"/>
      <c r="L89" s="1348"/>
    </row>
    <row r="90" spans="1:12" s="1157" customFormat="1" ht="20.100000000000001" customHeight="1">
      <c r="A90" s="1348"/>
      <c r="B90" s="1273" t="s">
        <v>426</v>
      </c>
      <c r="C90" s="1274"/>
      <c r="D90" s="1275"/>
      <c r="E90" s="1276" t="str">
        <f t="shared" si="7"/>
        <v>다군전체</v>
      </c>
      <c r="F90" s="1277"/>
      <c r="G90" s="1278">
        <f>G89*10/5</f>
        <v>777.5</v>
      </c>
      <c r="H90" s="1279"/>
      <c r="I90" s="1280"/>
      <c r="J90" s="1271" t="str">
        <f t="shared" si="6"/>
        <v>수능100%</v>
      </c>
      <c r="K90" s="1272"/>
      <c r="L90" s="1348"/>
    </row>
    <row r="91" spans="1:12" s="917" customFormat="1" ht="20.100000000000001" customHeight="1">
      <c r="A91" s="1348"/>
      <c r="B91" s="1273" t="s">
        <v>342</v>
      </c>
      <c r="C91" s="1274"/>
      <c r="D91" s="1275"/>
      <c r="E91" s="1276" t="str">
        <f t="shared" si="7"/>
        <v>전체</v>
      </c>
      <c r="F91" s="1277"/>
      <c r="G91" s="1278">
        <f>VLOOKUP($B91,계산도구!$A$2:$G$527,4,FALSE)+VLOOKUP($B91,계산도구!$A$2:$G$527,5,FALSE)+VLOOKUP($B91,계산도구!$A$2:$G$527,6,FALSE)+VLOOKUP($B91,계산도구!$A$2:$G$527,7,FALSE)</f>
        <v>536.65</v>
      </c>
      <c r="H91" s="1279"/>
      <c r="I91" s="1280"/>
      <c r="J91" s="1271" t="str">
        <f t="shared" si="6"/>
        <v>+학생부</v>
      </c>
      <c r="K91" s="1272"/>
      <c r="L91" s="1348"/>
    </row>
    <row r="92" spans="1:12" s="917" customFormat="1" ht="20.100000000000001" customHeight="1">
      <c r="A92" s="1348"/>
      <c r="B92" s="1273" t="s">
        <v>343</v>
      </c>
      <c r="C92" s="1274"/>
      <c r="D92" s="1275"/>
      <c r="E92" s="1276" t="str">
        <f t="shared" si="7"/>
        <v>생활과학대</v>
      </c>
      <c r="F92" s="1277"/>
      <c r="G92" s="1278">
        <f>VLOOKUP($B92,계산도구!$A$2:$G$527,4,FALSE)+VLOOKUP($B92,계산도구!$A$2:$G$527,5,FALSE)+VLOOKUP($B92,계산도구!$A$2:$G$527,6,FALSE)+VLOOKUP($B92,계산도구!$A$2:$G$527,7,FALSE)</f>
        <v>533.4</v>
      </c>
      <c r="H92" s="1279"/>
      <c r="I92" s="1280"/>
      <c r="J92" s="1271" t="str">
        <f t="shared" si="6"/>
        <v>+학생부</v>
      </c>
      <c r="K92" s="1272"/>
      <c r="L92" s="1348"/>
    </row>
    <row r="93" spans="1:12" s="917" customFormat="1" ht="20.100000000000001" customHeight="1">
      <c r="A93" s="1348"/>
      <c r="B93" s="1273" t="s">
        <v>355</v>
      </c>
      <c r="C93" s="1274"/>
      <c r="D93" s="1275"/>
      <c r="E93" s="1276" t="str">
        <f t="shared" si="7"/>
        <v>나군전체</v>
      </c>
      <c r="F93" s="1277"/>
      <c r="G93" s="1278">
        <f>VLOOKUP($B93,계산도구!$A$2:$G$527,4,FALSE)+VLOOKUP($B93,계산도구!$A$2:$G$527,5,FALSE)+VLOOKUP($B93,계산도구!$A$2:$G$527,6,FALSE)+VLOOKUP($B93,계산도구!$A$2:$G$527,7,FALSE)</f>
        <v>395.25</v>
      </c>
      <c r="H93" s="1279"/>
      <c r="I93" s="1280"/>
      <c r="J93" s="1271" t="str">
        <f t="shared" si="6"/>
        <v>+학생부</v>
      </c>
      <c r="K93" s="1272"/>
      <c r="L93" s="1348"/>
    </row>
    <row r="94" spans="1:12" s="1157" customFormat="1" ht="20.100000000000001" customHeight="1">
      <c r="A94" s="1348"/>
      <c r="B94" s="1273" t="s">
        <v>428</v>
      </c>
      <c r="C94" s="1274"/>
      <c r="D94" s="1275"/>
      <c r="E94" s="1276" t="str">
        <f t="shared" si="7"/>
        <v>다군전체</v>
      </c>
      <c r="F94" s="1277"/>
      <c r="G94" s="1278">
        <f>G93*10/5</f>
        <v>790.5</v>
      </c>
      <c r="H94" s="1279"/>
      <c r="I94" s="1280"/>
      <c r="J94" s="1271" t="str">
        <f t="shared" si="6"/>
        <v>수능100%</v>
      </c>
      <c r="K94" s="1272"/>
      <c r="L94" s="1348"/>
    </row>
    <row r="95" spans="1:12" s="929" customFormat="1" ht="20.100000000000001" customHeight="1">
      <c r="A95" s="1348"/>
      <c r="B95" s="1273" t="s">
        <v>385</v>
      </c>
      <c r="C95" s="1274"/>
      <c r="D95" s="1275"/>
      <c r="E95" s="1276" t="str">
        <f t="shared" si="7"/>
        <v>전체</v>
      </c>
      <c r="F95" s="1277"/>
      <c r="G95" s="1278">
        <f>VLOOKUP($B95,계산도구!$A$2:$G$527,4,FALSE)+VLOOKUP($B95,계산도구!$A$2:$G$527,5,FALSE)+VLOOKUP($B95,계산도구!$A$2:$G$527,6,FALSE)+VLOOKUP($B95,계산도구!$A$2:$G$527,7,FALSE)</f>
        <v>767.92010622651276</v>
      </c>
      <c r="H95" s="1279"/>
      <c r="I95" s="1280"/>
      <c r="J95" s="1271" t="str">
        <f t="shared" si="6"/>
        <v>+학생부</v>
      </c>
      <c r="K95" s="1272"/>
      <c r="L95" s="1348"/>
    </row>
    <row r="96" spans="1:12" s="929" customFormat="1" ht="20.100000000000001" customHeight="1">
      <c r="A96" s="1348"/>
      <c r="B96" s="1273" t="s">
        <v>391</v>
      </c>
      <c r="C96" s="1274"/>
      <c r="D96" s="1275"/>
      <c r="E96" s="1276" t="str">
        <f t="shared" si="7"/>
        <v>전체</v>
      </c>
      <c r="F96" s="1277"/>
      <c r="G96" s="1278">
        <f>VLOOKUP($B96,계산도구!$A$2:$G$527,4,FALSE)+VLOOKUP($B96,계산도구!$A$2:$G$527,5,FALSE)+VLOOKUP($B96,계산도구!$A$2:$G$527,6,FALSE)+VLOOKUP($B96,계산도구!$A$2:$G$527,7,FALSE)</f>
        <v>295.36111111111109</v>
      </c>
      <c r="H96" s="1279"/>
      <c r="I96" s="1280"/>
      <c r="J96" s="1271" t="str">
        <f t="shared" si="6"/>
        <v>+학생부</v>
      </c>
      <c r="K96" s="1272"/>
      <c r="L96" s="1348"/>
    </row>
    <row r="97" spans="1:44" s="917" customFormat="1" ht="20.100000000000001" customHeight="1">
      <c r="A97" s="1348"/>
      <c r="B97" s="1273" t="s">
        <v>344</v>
      </c>
      <c r="C97" s="1274"/>
      <c r="D97" s="1275"/>
      <c r="E97" s="1276" t="str">
        <f t="shared" si="7"/>
        <v>전체</v>
      </c>
      <c r="F97" s="1277"/>
      <c r="G97" s="1278">
        <f>VLOOKUP($B97,계산도구!$A$2:$G$527,4,FALSE)+VLOOKUP($B97,계산도구!$A$2:$G$527,5,FALSE)+VLOOKUP($B97,계산도구!$A$2:$G$527,6,FALSE)+VLOOKUP($B97,계산도구!$A$2:$G$527,7,FALSE)</f>
        <v>183.21</v>
      </c>
      <c r="H97" s="1279"/>
      <c r="I97" s="1280"/>
      <c r="J97" s="1271" t="str">
        <f t="shared" si="6"/>
        <v>+학생부</v>
      </c>
      <c r="K97" s="1272"/>
      <c r="L97" s="1348"/>
    </row>
    <row r="98" spans="1:44" s="917" customFormat="1" ht="20.100000000000001" customHeight="1">
      <c r="A98" s="1348"/>
      <c r="B98" s="1273" t="s">
        <v>359</v>
      </c>
      <c r="C98" s="1274"/>
      <c r="D98" s="1275"/>
      <c r="E98" s="1276" t="str">
        <f t="shared" si="7"/>
        <v>가)수학,수교,통계,수-의예</v>
      </c>
      <c r="F98" s="1277"/>
      <c r="G98" s="1278">
        <f>VLOOKUP($B98,계산도구!$A$2:$G$527,4,FALSE)+VLOOKUP($B98,계산도구!$A$2:$G$527,5,FALSE)+VLOOKUP($B98,계산도구!$A$2:$G$527,6,FALSE)+VLOOKUP($B98,계산도구!$A$2:$G$527,7,FALSE)</f>
        <v>555.4</v>
      </c>
      <c r="H98" s="1279"/>
      <c r="I98" s="1280"/>
      <c r="J98" s="1271" t="str">
        <f t="shared" si="6"/>
        <v>+학생부</v>
      </c>
      <c r="K98" s="1272"/>
      <c r="L98" s="1348"/>
    </row>
    <row r="99" spans="1:44" s="921" customFormat="1" ht="20.100000000000001" customHeight="1">
      <c r="A99" s="1348"/>
      <c r="B99" s="1273" t="s">
        <v>360</v>
      </c>
      <c r="C99" s="1274"/>
      <c r="D99" s="1275"/>
      <c r="E99" s="1276" t="str">
        <f t="shared" si="7"/>
        <v>가)나형지원가능잔여학과</v>
      </c>
      <c r="F99" s="1277"/>
      <c r="G99" s="1278">
        <f>VLOOKUP($B99,계산도구!$A$2:$G$527,4,FALSE)+VLOOKUP($B99,계산도구!$A$2:$G$527,5,FALSE)+VLOOKUP($B99,계산도구!$A$2:$G$527,6,FALSE)+VLOOKUP($B99,계산도구!$A$2:$G$527,7,FALSE)</f>
        <v>548.4</v>
      </c>
      <c r="H99" s="1279"/>
      <c r="I99" s="1280"/>
      <c r="J99" s="1271" t="str">
        <f t="shared" si="6"/>
        <v>+학생부</v>
      </c>
      <c r="K99" s="1272"/>
      <c r="L99" s="1348"/>
    </row>
    <row r="100" spans="1:44" s="1157" customFormat="1" ht="20.100000000000001" customHeight="1">
      <c r="A100" s="1348"/>
      <c r="B100" s="1273" t="s">
        <v>445</v>
      </c>
      <c r="C100" s="1274"/>
      <c r="D100" s="1275"/>
      <c r="E100" s="1276" t="str">
        <f t="shared" si="7"/>
        <v>나)수학,수교,통계,수-의예</v>
      </c>
      <c r="F100" s="1277"/>
      <c r="G100" s="1278">
        <f>G98+400</f>
        <v>955.4</v>
      </c>
      <c r="H100" s="1279"/>
      <c r="I100" s="1280"/>
      <c r="J100" s="1271" t="str">
        <f t="shared" si="6"/>
        <v>수능100%</v>
      </c>
      <c r="K100" s="1272"/>
      <c r="L100" s="1348"/>
    </row>
    <row r="101" spans="1:44" s="1157" customFormat="1" ht="20.100000000000001" customHeight="1">
      <c r="A101" s="1348"/>
      <c r="B101" s="1273" t="s">
        <v>446</v>
      </c>
      <c r="C101" s="1274"/>
      <c r="D101" s="1275"/>
      <c r="E101" s="1276" t="str">
        <f t="shared" si="7"/>
        <v>나)나형지원가능잔여학과</v>
      </c>
      <c r="F101" s="1277"/>
      <c r="G101" s="1278">
        <f>G99+400</f>
        <v>948.4</v>
      </c>
      <c r="H101" s="1279"/>
      <c r="I101" s="1280"/>
      <c r="J101" s="1271" t="str">
        <f t="shared" si="6"/>
        <v>수능100%</v>
      </c>
      <c r="K101" s="1272"/>
      <c r="L101" s="1348"/>
    </row>
    <row r="102" spans="1:44" s="917" customFormat="1" ht="20.100000000000001" customHeight="1">
      <c r="A102" s="1348"/>
      <c r="B102" s="1289" t="s">
        <v>345</v>
      </c>
      <c r="C102" s="1288"/>
      <c r="D102" s="1290"/>
      <c r="E102" s="1276" t="str">
        <f t="shared" si="7"/>
        <v>가군전체</v>
      </c>
      <c r="F102" s="1277"/>
      <c r="G102" s="1278">
        <f>VLOOKUP($B102,계산도구!$A$2:$G$527,4,FALSE)+VLOOKUP($B102,계산도구!$A$2:$G$527,5,FALSE)+VLOOKUP($B102,계산도구!$A$2:$G$527,6,FALSE)+VLOOKUP($B102,계산도구!$A$2:$G$527,7,FALSE)</f>
        <v>493.95</v>
      </c>
      <c r="H102" s="1279"/>
      <c r="I102" s="1280"/>
      <c r="J102" s="1271" t="str">
        <f t="shared" si="6"/>
        <v>+학생부</v>
      </c>
      <c r="K102" s="1272"/>
      <c r="L102" s="1348"/>
    </row>
    <row r="103" spans="1:44" s="1157" customFormat="1" ht="20.100000000000001" customHeight="1">
      <c r="A103" s="1348"/>
      <c r="B103" s="1289" t="s">
        <v>429</v>
      </c>
      <c r="C103" s="1288"/>
      <c r="D103" s="1290"/>
      <c r="E103" s="1276" t="str">
        <f t="shared" si="7"/>
        <v>다군전체</v>
      </c>
      <c r="F103" s="1277"/>
      <c r="G103" s="1278">
        <f>G102*10/6</f>
        <v>823.25</v>
      </c>
      <c r="H103" s="1279"/>
      <c r="I103" s="1280"/>
      <c r="J103" s="1271" t="str">
        <f t="shared" si="6"/>
        <v>수능100%</v>
      </c>
      <c r="K103" s="1272"/>
      <c r="L103" s="1348"/>
    </row>
    <row r="104" spans="1:44" s="917" customFormat="1" ht="20.100000000000001" customHeight="1">
      <c r="A104" s="1348"/>
      <c r="B104" s="1289" t="s">
        <v>346</v>
      </c>
      <c r="C104" s="1288"/>
      <c r="D104" s="1290"/>
      <c r="E104" s="1276" t="str">
        <f t="shared" si="7"/>
        <v>전체</v>
      </c>
      <c r="F104" s="1277"/>
      <c r="G104" s="1278">
        <f>VLOOKUP($B104,계산도구!$A$2:$G$527,4,FALSE)+VLOOKUP($B104,계산도구!$A$2:$G$527,5,FALSE)+VLOOKUP($B104,계산도구!$A$2:$G$527,6,FALSE)+VLOOKUP($B104,계산도구!$A$2:$G$527,7,FALSE)</f>
        <v>655.42472060972295</v>
      </c>
      <c r="H104" s="1279"/>
      <c r="I104" s="1280"/>
      <c r="J104" s="1271" t="str">
        <f t="shared" si="6"/>
        <v>+학생부</v>
      </c>
      <c r="K104" s="1272"/>
      <c r="L104" s="1348"/>
    </row>
    <row r="105" spans="1:44" s="917" customFormat="1" ht="20.100000000000001" customHeight="1">
      <c r="A105" s="1348"/>
      <c r="B105" s="1289" t="s">
        <v>347</v>
      </c>
      <c r="C105" s="1288"/>
      <c r="D105" s="1290"/>
      <c r="E105" s="1276" t="str">
        <f t="shared" si="7"/>
        <v>전체</v>
      </c>
      <c r="F105" s="1277"/>
      <c r="G105" s="1278">
        <f>VLOOKUP($B105,계산도구!$A$2:$G$527,4,FALSE)+VLOOKUP($B105,계산도구!$A$2:$G$527,5,FALSE)+VLOOKUP($B105,계산도구!$A$2:$G$527,6,FALSE)+VLOOKUP($B105,계산도구!$A$2:$G$527,7,FALSE)</f>
        <v>265.72500000000002</v>
      </c>
      <c r="H105" s="1279"/>
      <c r="I105" s="1280"/>
      <c r="J105" s="1271" t="str">
        <f t="shared" si="6"/>
        <v>+학생부</v>
      </c>
      <c r="K105" s="1272"/>
      <c r="L105" s="1348"/>
    </row>
    <row r="106" spans="1:44" s="917" customFormat="1" ht="20.100000000000001" customHeight="1">
      <c r="A106" s="1348"/>
      <c r="B106" s="1289" t="s">
        <v>348</v>
      </c>
      <c r="C106" s="1288"/>
      <c r="D106" s="1290"/>
      <c r="E106" s="1276" t="str">
        <f t="shared" si="7"/>
        <v>생활환경,생명자원</v>
      </c>
      <c r="F106" s="1277"/>
      <c r="G106" s="1278">
        <f>VLOOKUP($B106,계산도구!$A$2:$G$527,4,FALSE)+VLOOKUP($B106,계산도구!$A$2:$G$527,5,FALSE)+VLOOKUP($B106,계산도구!$A$2:$G$527,6,FALSE)+VLOOKUP($B106,계산도구!$A$2:$G$527,7,FALSE)</f>
        <v>278.73</v>
      </c>
      <c r="H106" s="1279"/>
      <c r="I106" s="1280"/>
      <c r="J106" s="1271" t="str">
        <f t="shared" si="6"/>
        <v>+학생부</v>
      </c>
      <c r="K106" s="1272"/>
      <c r="L106" s="1348"/>
      <c r="AR106"/>
    </row>
    <row r="107" spans="1:44" s="917" customFormat="1" ht="20.100000000000001" customHeight="1">
      <c r="A107" s="1348"/>
      <c r="B107" s="1321" t="s">
        <v>381</v>
      </c>
      <c r="C107" s="1322"/>
      <c r="D107" s="1323"/>
      <c r="E107" s="1276" t="str">
        <f t="shared" si="7"/>
        <v>나)의예,수의예,공대등</v>
      </c>
      <c r="F107" s="1277"/>
      <c r="G107" s="1341">
        <f>VLOOKUP($B107,계산도구!$A$2:$G$527,4,FALSE)+VLOOKUP($B107,계산도구!$A$2:$G$527,5,FALSE)+VLOOKUP($B107,계산도구!$A$2:$G$527,6,FALSE)+VLOOKUP($B107,계산도구!$A$2:$G$527,7,FALSE)</f>
        <v>412.15119371147796</v>
      </c>
      <c r="H107" s="1342"/>
      <c r="I107" s="1343"/>
      <c r="J107" s="1271" t="str">
        <f t="shared" si="6"/>
        <v>+학생부</v>
      </c>
      <c r="K107" s="1272"/>
      <c r="L107" s="1348"/>
      <c r="AR107"/>
    </row>
    <row r="108" spans="1:44" s="921" customFormat="1" ht="20.100000000000001" customHeight="1">
      <c r="A108" s="1348"/>
      <c r="B108" s="1321" t="s">
        <v>372</v>
      </c>
      <c r="C108" s="1322"/>
      <c r="D108" s="1323"/>
      <c r="E108" s="1276" t="str">
        <f t="shared" si="7"/>
        <v>나)간호,농생명일부</v>
      </c>
      <c r="F108" s="1277"/>
      <c r="G108" s="1341">
        <f>VLOOKUP($B108,계산도구!$A$2:$G$527,4,FALSE)+VLOOKUP($B108,계산도구!$A$2:$G$527,5,FALSE)+VLOOKUP($B108,계산도구!$A$2:$G$527,6,FALSE)+VLOOKUP($B108,계산도구!$A$2:$G$527,7,FALSE)</f>
        <v>429.16687998598775</v>
      </c>
      <c r="H108" s="1342"/>
      <c r="I108" s="1343"/>
      <c r="J108" s="1271" t="str">
        <f t="shared" si="6"/>
        <v>+학생부</v>
      </c>
      <c r="K108" s="1272"/>
      <c r="L108" s="1348"/>
      <c r="AR108"/>
    </row>
    <row r="109" spans="1:44" s="921" customFormat="1" ht="20.100000000000001" customHeight="1">
      <c r="A109" s="1348"/>
      <c r="B109" s="1321" t="s">
        <v>383</v>
      </c>
      <c r="C109" s="1322"/>
      <c r="D109" s="1323"/>
      <c r="E109" s="1276" t="str">
        <f t="shared" si="7"/>
        <v>나)간호,생명계열</v>
      </c>
      <c r="F109" s="1277"/>
      <c r="G109" s="1341">
        <f>VLOOKUP($B109,계산도구!$A$2:$G$527,4,FALSE)+VLOOKUP($B109,계산도구!$A$2:$G$527,5,FALSE)+VLOOKUP($B109,계산도구!$A$2:$G$527,6,FALSE)+VLOOKUP($B109,계산도구!$A$2:$G$527,7,FALSE)</f>
        <v>431.92243554154322</v>
      </c>
      <c r="H109" s="1342"/>
      <c r="I109" s="1343"/>
      <c r="J109" s="1271" t="str">
        <f t="shared" si="6"/>
        <v>+학생부</v>
      </c>
      <c r="K109" s="1272"/>
      <c r="L109" s="1348"/>
      <c r="AR109"/>
    </row>
    <row r="110" spans="1:44" s="921" customFormat="1" ht="20.100000000000001" customHeight="1">
      <c r="A110" s="1348"/>
      <c r="B110" s="1321" t="s">
        <v>384</v>
      </c>
      <c r="C110" s="1322"/>
      <c r="D110" s="1323"/>
      <c r="E110" s="1276" t="str">
        <f t="shared" si="7"/>
        <v>나)수학,생활,농생명일부</v>
      </c>
      <c r="F110" s="1277"/>
      <c r="G110" s="1341">
        <f>VLOOKUP($B110,계산도구!$A$2:$G$527,4,FALSE)+VLOOKUP($B110,계산도구!$A$2:$G$527,5,FALSE)+VLOOKUP($B110,계산도구!$A$2:$G$527,6,FALSE)+VLOOKUP($B110,계산도구!$A$2:$G$527,7,FALSE)</f>
        <v>409.39563815592237</v>
      </c>
      <c r="H110" s="1342"/>
      <c r="I110" s="1343"/>
      <c r="J110" s="1271" t="str">
        <f t="shared" si="6"/>
        <v>+학생부</v>
      </c>
      <c r="K110" s="1272"/>
      <c r="L110" s="1348"/>
      <c r="AR110"/>
    </row>
    <row r="111" spans="1:44" s="1157" customFormat="1" ht="20.100000000000001" customHeight="1">
      <c r="A111" s="1348"/>
      <c r="B111" s="1273" t="s">
        <v>430</v>
      </c>
      <c r="C111" s="1274"/>
      <c r="D111" s="1275"/>
      <c r="E111" s="1276" t="str">
        <f t="shared" si="7"/>
        <v>가)의예,수의예,공대등</v>
      </c>
      <c r="F111" s="1277"/>
      <c r="G111" s="1278">
        <f>G107*10/5</f>
        <v>824.30238742295592</v>
      </c>
      <c r="H111" s="1279"/>
      <c r="I111" s="1280"/>
      <c r="J111" s="1271" t="str">
        <f>IF(OR(B111="항공대1",B111="한양대안산1",B111="중앙대안성1",B111="경기대1",B111="안양대1",B111="충북대3",B111="충북대4",B111="경상대1",B111="전남대5",B111="전남대6",B111="전남대7",B111="전남대8"),"수능100%","+학생부")</f>
        <v>수능100%</v>
      </c>
      <c r="K111" s="1272"/>
      <c r="L111" s="1348"/>
      <c r="AR111"/>
    </row>
    <row r="112" spans="1:44" s="1157" customFormat="1" ht="20.100000000000001" customHeight="1">
      <c r="A112" s="1348"/>
      <c r="B112" s="1321" t="s">
        <v>431</v>
      </c>
      <c r="C112" s="1322"/>
      <c r="D112" s="1323"/>
      <c r="E112" s="1276" t="str">
        <f t="shared" si="7"/>
        <v>가)간호,농생명일부</v>
      </c>
      <c r="F112" s="1277"/>
      <c r="G112" s="1278">
        <f>G108*10/5</f>
        <v>858.3337599719755</v>
      </c>
      <c r="H112" s="1279"/>
      <c r="I112" s="1280"/>
      <c r="J112" s="1271" t="str">
        <f t="shared" ref="J112:J114" si="8">IF(OR(B112="항공대1",B112="한양대안산1",B112="중앙대안성1",B112="경기대1",B112="안양대1",B112="충북대3",B112="충북대4",B112="경상대1",B112="전남대5",B112="전남대6",B112="전남대7",B112="전남대8"),"수능100%","+학생부")</f>
        <v>수능100%</v>
      </c>
      <c r="K112" s="1272"/>
      <c r="L112" s="1348"/>
      <c r="AR112"/>
    </row>
    <row r="113" spans="1:44" s="1157" customFormat="1" ht="20.100000000000001" customHeight="1">
      <c r="A113" s="1348"/>
      <c r="B113" s="1321" t="s">
        <v>432</v>
      </c>
      <c r="C113" s="1322"/>
      <c r="D113" s="1323"/>
      <c r="E113" s="1276" t="str">
        <f t="shared" si="7"/>
        <v>가)간호,생명계열</v>
      </c>
      <c r="F113" s="1277"/>
      <c r="G113" s="1278">
        <f>G109*10/5</f>
        <v>863.84487108308645</v>
      </c>
      <c r="H113" s="1279"/>
      <c r="I113" s="1280"/>
      <c r="J113" s="1271" t="str">
        <f t="shared" si="8"/>
        <v>수능100%</v>
      </c>
      <c r="K113" s="1272"/>
      <c r="L113" s="1348"/>
      <c r="AR113"/>
    </row>
    <row r="114" spans="1:44" s="1157" customFormat="1" ht="20.100000000000001" customHeight="1" thickBot="1">
      <c r="A114" s="1348"/>
      <c r="B114" s="1391" t="s">
        <v>433</v>
      </c>
      <c r="C114" s="1392"/>
      <c r="D114" s="1393"/>
      <c r="E114" s="1394" t="str">
        <f t="shared" si="7"/>
        <v>가)수학,생활,농생명일부</v>
      </c>
      <c r="F114" s="1395"/>
      <c r="G114" s="1278">
        <f>G110*10/5</f>
        <v>818.79127631184474</v>
      </c>
      <c r="H114" s="1279"/>
      <c r="I114" s="1280"/>
      <c r="J114" s="1396" t="str">
        <f t="shared" si="8"/>
        <v>수능100%</v>
      </c>
      <c r="K114" s="1397"/>
      <c r="L114" s="1348"/>
      <c r="AR114"/>
    </row>
    <row r="115" spans="1:44" s="143" customFormat="1" ht="20.100000000000001" customHeight="1" thickBot="1">
      <c r="A115" s="1348"/>
      <c r="B115" s="1281" t="s">
        <v>110</v>
      </c>
      <c r="C115" s="1282"/>
      <c r="D115" s="1282"/>
      <c r="E115" s="1282"/>
      <c r="F115" s="1282"/>
      <c r="G115" s="1282"/>
      <c r="H115" s="1282"/>
      <c r="I115" s="1282"/>
      <c r="J115" s="1282"/>
      <c r="K115" s="1283"/>
      <c r="L115" s="1348"/>
      <c r="AR115"/>
    </row>
    <row r="116" spans="1:44" s="143" customFormat="1" ht="20.100000000000001" customHeight="1">
      <c r="A116" s="1348"/>
      <c r="B116" s="1273" t="s">
        <v>396</v>
      </c>
      <c r="C116" s="1274"/>
      <c r="D116" s="1275"/>
      <c r="E116" s="1339" t="str">
        <f>IF(OR(B116="경원대4",B116="우석대"),"가형한의예",IF(OR(B116="대전대",B116="경희대1",B116="대구한의대",B116="동의대"),"가/나,사/과분할",IF(OR(B116="세명대",B116="상지대"),"가/나,사/과경쟁",IF(OR(B116="동국대경주"),"다군 가형한의예",IF(OR(B116="동국대경주1"),"나군 가형한의예",IF(OR(B116="원광대",B116="동신대1"),"가군 가/나,사/과경쟁",IF(B116="원광대1","다군 가/나,사/과경쟁",IF(OR(B116="동신대"),"나군 가/나,사/과경쟁","전체"))))))))</f>
        <v>가형한의예</v>
      </c>
      <c r="F116" s="1340"/>
      <c r="G116" s="1377">
        <f>VLOOKUP($B116,계산도구!$A$2:$G$527,4,FALSE)+VLOOKUP($B116,계산도구!$A$2:$G$527,5,FALSE)+VLOOKUP($B116,계산도구!$A$2:$G$527,6,FALSE)+VLOOKUP($B116,계산도구!$A$2:$G$527,7,FALSE)</f>
        <v>767.5</v>
      </c>
      <c r="H116" s="1378"/>
      <c r="I116" s="1379"/>
      <c r="J116" s="1299" t="str">
        <f>IF(OR(B116="동국대경주1",B116="원광대1",B116="경원대4",B116="동신대1"),"수능100%","+학생부")</f>
        <v>수능100%</v>
      </c>
      <c r="K116" s="1300"/>
      <c r="L116" s="1348"/>
      <c r="AR116"/>
    </row>
    <row r="117" spans="1:44" s="143" customFormat="1" ht="20.100000000000001" customHeight="1">
      <c r="A117" s="1348"/>
      <c r="B117" s="1273" t="s">
        <v>89</v>
      </c>
      <c r="C117" s="1274"/>
      <c r="D117" s="1275"/>
      <c r="E117" s="1313" t="str">
        <f t="shared" ref="E117:E129" si="9">IF(OR(B117="경원대4",B117="우석대"),"가형한의예",IF(OR(B117="대전대",B117="경희대1",B117="대구한의대",B117="동의대"),"가/나,사/과분할",IF(OR(B117="세명대",B117="상지대"),"가/나,사/과경쟁",IF(OR(B117="동국대경주"),"다군 가형한의예",IF(OR(B117="동국대경주1"),"나군 가형한의예",IF(OR(B117="원광대",B117="동신대1"),"가군 가/나,사/과경쟁",IF(B117="원광대1","다군 가/나,사/과경쟁",IF(OR(B117="동신대"),"나군 가/나,사/과경쟁","전체"))))))))</f>
        <v>다군 가형한의예</v>
      </c>
      <c r="F117" s="1314"/>
      <c r="G117" s="1278">
        <f>VLOOKUP($B117,계산도구!$A$2:$G$527,4,FALSE)+VLOOKUP($B117,계산도구!$A$2:$G$527,5,FALSE)+VLOOKUP($B117,계산도구!$A$2:$G$527,6,FALSE)+VLOOKUP($B117,계산도구!$A$2:$G$527,7,FALSE)</f>
        <v>381.09999999999997</v>
      </c>
      <c r="H117" s="1279"/>
      <c r="I117" s="1280"/>
      <c r="J117" s="1286" t="str">
        <f t="shared" ref="J117:J129" si="10">IF(OR(B117="동국대경주1",B117="원광대1",B117="경원대4",B117="동신대1"),"수능100%","+학생부")</f>
        <v>+학생부</v>
      </c>
      <c r="K117" s="1287"/>
      <c r="L117" s="1348"/>
      <c r="AR117"/>
    </row>
    <row r="118" spans="1:44" s="1206" customFormat="1" ht="20.100000000000001" customHeight="1">
      <c r="A118" s="1348"/>
      <c r="B118" s="1273" t="s">
        <v>448</v>
      </c>
      <c r="C118" s="1274"/>
      <c r="D118" s="1275"/>
      <c r="E118" s="1313" t="str">
        <f t="shared" si="9"/>
        <v>나군 가형한의예</v>
      </c>
      <c r="F118" s="1314"/>
      <c r="G118" s="1278">
        <f>G117*10/6</f>
        <v>635.16666666666663</v>
      </c>
      <c r="H118" s="1279"/>
      <c r="I118" s="1280"/>
      <c r="J118" s="1286" t="str">
        <f t="shared" si="10"/>
        <v>수능100%</v>
      </c>
      <c r="K118" s="1287"/>
      <c r="L118" s="1348"/>
      <c r="AR118"/>
    </row>
    <row r="119" spans="1:44" s="143" customFormat="1" ht="20.100000000000001" customHeight="1">
      <c r="A119" s="1348"/>
      <c r="B119" s="1273" t="s">
        <v>90</v>
      </c>
      <c r="C119" s="1274"/>
      <c r="D119" s="1275"/>
      <c r="E119" s="1313" t="str">
        <f t="shared" si="9"/>
        <v>가형한의예</v>
      </c>
      <c r="F119" s="1314"/>
      <c r="G119" s="1278">
        <f>VLOOKUP($B119,계산도구!$A$2:$G$527,4,FALSE)+VLOOKUP($B119,계산도구!$A$2:$G$527,5,FALSE)+VLOOKUP($B119,계산도구!$A$2:$G$527,6,FALSE)+VLOOKUP($B119,계산도구!$A$2:$G$527,7,FALSE)</f>
        <v>390.63743243776383</v>
      </c>
      <c r="H119" s="1279"/>
      <c r="I119" s="1280"/>
      <c r="J119" s="1286" t="str">
        <f t="shared" si="10"/>
        <v>+학생부</v>
      </c>
      <c r="K119" s="1287"/>
      <c r="L119" s="1348"/>
      <c r="AR119"/>
    </row>
    <row r="120" spans="1:44" s="150" customFormat="1" ht="20.100000000000001" customHeight="1">
      <c r="A120" s="1348"/>
      <c r="B120" s="1333" t="s">
        <v>14</v>
      </c>
      <c r="C120" s="1344"/>
      <c r="D120" s="1335"/>
      <c r="E120" s="1330" t="str">
        <f t="shared" si="9"/>
        <v>가/나,사/과분할</v>
      </c>
      <c r="F120" s="1332"/>
      <c r="G120" s="1278">
        <f>VLOOKUP($B120,계산도구!$A$2:$G$527,4,FALSE)+VLOOKUP($B120,계산도구!$A$2:$G$527,5,FALSE)+VLOOKUP($B120,계산도구!$A$2:$G$527,6,FALSE)+VLOOKUP($B120,계산도구!$A$2:$G$527,7,FALSE)</f>
        <v>575.10406535547475</v>
      </c>
      <c r="H120" s="1279"/>
      <c r="I120" s="1280"/>
      <c r="J120" s="1286" t="str">
        <f t="shared" si="10"/>
        <v>+학생부</v>
      </c>
      <c r="K120" s="1287"/>
      <c r="L120" s="1348"/>
    </row>
    <row r="121" spans="1:44" s="143" customFormat="1" ht="20.100000000000001" customHeight="1">
      <c r="A121" s="1348"/>
      <c r="B121" s="1273" t="s">
        <v>91</v>
      </c>
      <c r="C121" s="1274"/>
      <c r="D121" s="1275"/>
      <c r="E121" s="1330" t="str">
        <f t="shared" si="9"/>
        <v>가/나,사/과분할</v>
      </c>
      <c r="F121" s="1332"/>
      <c r="G121" s="1278">
        <f>VLOOKUP($B121,계산도구!$A$2:$G$527,4,FALSE)+VLOOKUP($B121,계산도구!$A$2:$G$527,5,FALSE)+VLOOKUP($B121,계산도구!$A$2:$G$527,6,FALSE)+VLOOKUP($B121,계산도구!$A$2:$G$527,7,FALSE)</f>
        <v>630</v>
      </c>
      <c r="H121" s="1279"/>
      <c r="I121" s="1280"/>
      <c r="J121" s="1286" t="str">
        <f t="shared" si="10"/>
        <v>+학생부</v>
      </c>
      <c r="K121" s="1287"/>
      <c r="L121" s="1348"/>
    </row>
    <row r="122" spans="1:44" s="143" customFormat="1" ht="20.100000000000001" customHeight="1">
      <c r="A122" s="1348"/>
      <c r="B122" s="1273" t="s">
        <v>92</v>
      </c>
      <c r="C122" s="1274"/>
      <c r="D122" s="1275"/>
      <c r="E122" s="1330" t="str">
        <f t="shared" si="9"/>
        <v>가/나,사/과분할</v>
      </c>
      <c r="F122" s="1332"/>
      <c r="G122" s="1278">
        <f>VLOOKUP($B122,계산도구!$A$2:$G$527,4,FALSE)+VLOOKUP($B122,계산도구!$A$2:$G$527,5,FALSE)+VLOOKUP($B122,계산도구!$A$2:$G$527,6,FALSE)+VLOOKUP($B122,계산도구!$A$2:$G$527,7,FALSE)</f>
        <v>578.95996056618196</v>
      </c>
      <c r="H122" s="1279"/>
      <c r="I122" s="1280"/>
      <c r="J122" s="1286" t="str">
        <f t="shared" si="10"/>
        <v>+학생부</v>
      </c>
      <c r="K122" s="1287"/>
      <c r="L122" s="1348"/>
    </row>
    <row r="123" spans="1:44" s="143" customFormat="1" ht="20.100000000000001" customHeight="1">
      <c r="A123" s="1348"/>
      <c r="B123" s="1273" t="s">
        <v>93</v>
      </c>
      <c r="C123" s="1274"/>
      <c r="D123" s="1275"/>
      <c r="E123" s="1330" t="str">
        <f t="shared" si="9"/>
        <v>가/나,사/과분할</v>
      </c>
      <c r="F123" s="1332"/>
      <c r="G123" s="1278">
        <f>VLOOKUP($B123,계산도구!$A$2:$G$527,4,FALSE)+VLOOKUP($B123,계산도구!$A$2:$G$527,5,FALSE)+VLOOKUP($B123,계산도구!$A$2:$G$527,6,FALSE)+VLOOKUP($B123,계산도구!$A$2:$G$527,7,FALSE)</f>
        <v>356.25</v>
      </c>
      <c r="H123" s="1279"/>
      <c r="I123" s="1280"/>
      <c r="J123" s="1286" t="str">
        <f t="shared" si="10"/>
        <v>+학생부</v>
      </c>
      <c r="K123" s="1287"/>
      <c r="L123" s="1348"/>
    </row>
    <row r="124" spans="1:44" s="764" customFormat="1" ht="20.100000000000001" customHeight="1">
      <c r="A124" s="1348"/>
      <c r="B124" s="1273" t="s">
        <v>88</v>
      </c>
      <c r="C124" s="1274"/>
      <c r="D124" s="1275"/>
      <c r="E124" s="1317" t="str">
        <f t="shared" si="9"/>
        <v>나군 가/나,사/과경쟁</v>
      </c>
      <c r="F124" s="1318"/>
      <c r="G124" s="1278">
        <f>VLOOKUP($B124,계산도구!$A$2:$G$527,4,FALSE)+VLOOKUP($B124,계산도구!$A$2:$G$527,5,FALSE)+VLOOKUP($B124,계산도구!$A$2:$G$527,6,FALSE)+VLOOKUP($B124,계산도구!$A$2:$G$527,7,FALSE)</f>
        <v>483.75</v>
      </c>
      <c r="H124" s="1279"/>
      <c r="I124" s="1280"/>
      <c r="J124" s="1286" t="str">
        <f t="shared" si="10"/>
        <v>+학생부</v>
      </c>
      <c r="K124" s="1287"/>
      <c r="L124" s="1348"/>
    </row>
    <row r="125" spans="1:44" s="1206" customFormat="1" ht="20.100000000000001" customHeight="1">
      <c r="A125" s="1348"/>
      <c r="B125" s="1273" t="s">
        <v>453</v>
      </c>
      <c r="C125" s="1274"/>
      <c r="D125" s="1275"/>
      <c r="E125" s="1317" t="str">
        <f t="shared" si="9"/>
        <v>가군 가/나,사/과경쟁</v>
      </c>
      <c r="F125" s="1318"/>
      <c r="G125" s="1278">
        <f>G124*10/6</f>
        <v>806.25</v>
      </c>
      <c r="H125" s="1279"/>
      <c r="I125" s="1280"/>
      <c r="J125" s="1286" t="str">
        <f t="shared" si="10"/>
        <v>수능100%</v>
      </c>
      <c r="K125" s="1287"/>
      <c r="L125" s="1348"/>
    </row>
    <row r="126" spans="1:44" s="143" customFormat="1" ht="20.100000000000001" customHeight="1">
      <c r="A126" s="1348"/>
      <c r="B126" s="1273" t="s">
        <v>94</v>
      </c>
      <c r="C126" s="1274"/>
      <c r="D126" s="1275"/>
      <c r="E126" s="1317" t="str">
        <f t="shared" si="9"/>
        <v>가/나,사/과경쟁</v>
      </c>
      <c r="F126" s="1318"/>
      <c r="G126" s="1278">
        <f>VLOOKUP($B126,계산도구!$A$2:$G$527,4,FALSE)+VLOOKUP($B126,계산도구!$A$2:$G$527,5,FALSE)+VLOOKUP($B126,계산도구!$A$2:$G$527,6,FALSE)+VLOOKUP($B126,계산도구!$A$2:$G$527,7,FALSE)</f>
        <v>482.25</v>
      </c>
      <c r="H126" s="1279"/>
      <c r="I126" s="1280"/>
      <c r="J126" s="1286" t="str">
        <f t="shared" si="10"/>
        <v>+학생부</v>
      </c>
      <c r="K126" s="1287"/>
      <c r="L126" s="1348"/>
    </row>
    <row r="127" spans="1:44" s="143" customFormat="1" ht="20.100000000000001" customHeight="1">
      <c r="A127" s="1348"/>
      <c r="B127" s="1273" t="s">
        <v>95</v>
      </c>
      <c r="C127" s="1274"/>
      <c r="D127" s="1275"/>
      <c r="E127" s="1317" t="str">
        <f t="shared" si="9"/>
        <v>가/나,사/과경쟁</v>
      </c>
      <c r="F127" s="1318"/>
      <c r="G127" s="1278" t="e">
        <f>VLOOKUP($B127,계산도구!$A$2:$G$527,4,FALSE)+VLOOKUP($B127,계산도구!$A$2:$G$527,5,FALSE)+VLOOKUP($B127,계산도구!$A$2:$G$527,6,FALSE)+VLOOKUP($B127,계산도구!$A$2:$G$527,7,FALSE)</f>
        <v>#N/A</v>
      </c>
      <c r="H127" s="1279"/>
      <c r="I127" s="1280"/>
      <c r="J127" s="1286" t="str">
        <f t="shared" si="10"/>
        <v>+학생부</v>
      </c>
      <c r="K127" s="1287"/>
      <c r="L127" s="1348"/>
    </row>
    <row r="128" spans="1:44" s="143" customFormat="1" ht="20.100000000000001" customHeight="1">
      <c r="A128" s="1348"/>
      <c r="B128" s="1273" t="s">
        <v>102</v>
      </c>
      <c r="C128" s="1274"/>
      <c r="D128" s="1275"/>
      <c r="E128" s="1317" t="str">
        <f t="shared" si="9"/>
        <v>가군 가/나,사/과경쟁</v>
      </c>
      <c r="F128" s="1318"/>
      <c r="G128" s="1278">
        <f>VLOOKUP($B128,계산도구!$A$2:$G$527,4,FALSE)+VLOOKUP($B128,계산도구!$A$2:$G$527,5,FALSE)+VLOOKUP($B128,계산도구!$A$2:$G$527,6,FALSE)+VLOOKUP($B128,계산도구!$A$2:$G$527,7,FALSE)</f>
        <v>498.5</v>
      </c>
      <c r="H128" s="1279"/>
      <c r="I128" s="1280"/>
      <c r="J128" s="1286" t="str">
        <f t="shared" si="10"/>
        <v>+학생부</v>
      </c>
      <c r="K128" s="1287"/>
      <c r="L128" s="1348"/>
    </row>
    <row r="129" spans="1:50" s="1206" customFormat="1" ht="20.100000000000001" customHeight="1" thickBot="1">
      <c r="A129" s="1348"/>
      <c r="B129" s="1407" t="s">
        <v>449</v>
      </c>
      <c r="C129" s="1408"/>
      <c r="D129" s="1409"/>
      <c r="E129" s="1410" t="str">
        <f t="shared" si="9"/>
        <v>다군 가/나,사/과경쟁</v>
      </c>
      <c r="F129" s="1411"/>
      <c r="G129" s="1412">
        <f>G128*8/6</f>
        <v>664.66666666666663</v>
      </c>
      <c r="H129" s="1413"/>
      <c r="I129" s="1414"/>
      <c r="J129" s="1311" t="str">
        <f t="shared" si="10"/>
        <v>수능100%</v>
      </c>
      <c r="K129" s="1312"/>
      <c r="L129" s="1348"/>
    </row>
    <row r="130" spans="1:50" s="143" customFormat="1" ht="20.100000000000001" customHeight="1" thickBot="1">
      <c r="A130" s="1348"/>
      <c r="B130" s="1281" t="s">
        <v>111</v>
      </c>
      <c r="C130" s="1282"/>
      <c r="D130" s="1282"/>
      <c r="E130" s="1282"/>
      <c r="F130" s="1282"/>
      <c r="G130" s="1282"/>
      <c r="H130" s="1282"/>
      <c r="I130" s="1282"/>
      <c r="J130" s="1282"/>
      <c r="K130" s="1283"/>
      <c r="L130" s="1348"/>
      <c r="AU130" s="150"/>
      <c r="AV130" s="150"/>
      <c r="AW130" s="150"/>
      <c r="AX130" s="150"/>
    </row>
    <row r="131" spans="1:50" s="9" customFormat="1" ht="20.100000000000001" customHeight="1">
      <c r="A131" s="1348"/>
      <c r="B131" s="1333" t="s">
        <v>99</v>
      </c>
      <c r="C131" s="1344"/>
      <c r="D131" s="1335"/>
      <c r="E131" s="1339" t="str">
        <f t="shared" ref="E131:E132" si="11">IF(B131="원광대","가군 가/나,사/과경쟁",IF(B131="원광대1","나군 가/나,사/과경쟁","치의예"))</f>
        <v>치의예</v>
      </c>
      <c r="F131" s="1340"/>
      <c r="G131" s="1377">
        <f>VLOOKUP($B131,계산도구!$A$2:$G$527,4,FALSE)+VLOOKUP($B131,계산도구!$A$2:$G$527,5,FALSE)+VLOOKUP($B131,계산도구!$A$2:$G$527,6,FALSE)+VLOOKUP($B131,계산도구!$A$2:$G$527,7,FALSE)</f>
        <v>297.23750000000001</v>
      </c>
      <c r="H131" s="1378"/>
      <c r="I131" s="1379"/>
      <c r="J131" s="1299" t="str">
        <f t="shared" ref="J131:J132" si="12">IF(B131="원광대1","수능100%","+학생부")</f>
        <v>+학생부</v>
      </c>
      <c r="K131" s="1300"/>
      <c r="L131" s="1348"/>
      <c r="M131" s="63"/>
      <c r="N131" s="63"/>
      <c r="O131" s="63"/>
      <c r="P131" s="63"/>
      <c r="Q131" s="63"/>
      <c r="R131" s="63"/>
      <c r="S131" s="63"/>
    </row>
    <row r="132" spans="1:50" s="9" customFormat="1" ht="20.100000000000001" customHeight="1">
      <c r="A132" s="1348"/>
      <c r="B132" s="1273" t="s">
        <v>100</v>
      </c>
      <c r="C132" s="1274"/>
      <c r="D132" s="1275"/>
      <c r="E132" s="1313" t="str">
        <f t="shared" si="11"/>
        <v>치의예</v>
      </c>
      <c r="F132" s="1314"/>
      <c r="G132" s="1278">
        <f>VLOOKUP($B132,계산도구!$A$2:$G$527,4,FALSE)+VLOOKUP($B132,계산도구!$A$2:$G$527,5,FALSE)+VLOOKUP($B132,계산도구!$A$2:$G$527,6,FALSE)+VLOOKUP($B132,계산도구!$A$2:$G$527,7,FALSE)</f>
        <v>726.31893833589766</v>
      </c>
      <c r="H132" s="1279"/>
      <c r="I132" s="1280"/>
      <c r="J132" s="1286" t="str">
        <f t="shared" si="12"/>
        <v>+학생부</v>
      </c>
      <c r="K132" s="1287"/>
      <c r="L132" s="1348"/>
      <c r="M132" s="63"/>
      <c r="N132" s="63"/>
      <c r="O132" s="63"/>
      <c r="P132" s="63"/>
      <c r="Q132" s="63"/>
      <c r="R132" s="63"/>
      <c r="S132" s="63"/>
    </row>
    <row r="133" spans="1:50" s="9" customFormat="1" ht="20.100000000000001" customHeight="1">
      <c r="A133" s="1348"/>
      <c r="B133" s="1273" t="s">
        <v>101</v>
      </c>
      <c r="C133" s="1274"/>
      <c r="D133" s="1275"/>
      <c r="E133" s="1317" t="str">
        <f>IF(B133="원광대","가군 가/나,사/과경쟁",IF(B133="원광대1","나군 가/나,사/과경쟁","치의예"))</f>
        <v>가군 가/나,사/과경쟁</v>
      </c>
      <c r="F133" s="1318"/>
      <c r="G133" s="1278">
        <f>VLOOKUP($B133,계산도구!$A$2:$G$527,4,FALSE)+VLOOKUP($B133,계산도구!$A$2:$G$527,5,FALSE)+VLOOKUP($B133,계산도구!$A$2:$G$527,6,FALSE)+VLOOKUP($B133,계산도구!$A$2:$G$527,7,FALSE)</f>
        <v>498.5</v>
      </c>
      <c r="H133" s="1279"/>
      <c r="I133" s="1280"/>
      <c r="J133" s="1286" t="str">
        <f>IF(B133="원광대1","수능100%","+학생부")</f>
        <v>+학생부</v>
      </c>
      <c r="K133" s="1287"/>
      <c r="L133" s="1348"/>
      <c r="M133" s="63"/>
      <c r="N133" s="63"/>
      <c r="O133" s="63"/>
      <c r="P133" s="63"/>
      <c r="Q133" s="63"/>
      <c r="R133" s="63"/>
      <c r="S133" s="63"/>
    </row>
    <row r="134" spans="1:50" s="1206" customFormat="1" ht="20.100000000000001" customHeight="1" thickBot="1">
      <c r="A134" s="1348"/>
      <c r="B134" s="1407" t="s">
        <v>449</v>
      </c>
      <c r="C134" s="1408"/>
      <c r="D134" s="1409"/>
      <c r="E134" s="1410" t="str">
        <f t="shared" ref="E134" si="13">IF(B134="원광대","가군 가/나,사/과경쟁",IF(B134="원광대1","나군 가/나,사/과경쟁","치의예"))</f>
        <v>나군 가/나,사/과경쟁</v>
      </c>
      <c r="F134" s="1411"/>
      <c r="G134" s="1412">
        <f>G133*8/6</f>
        <v>664.66666666666663</v>
      </c>
      <c r="H134" s="1413"/>
      <c r="I134" s="1414"/>
      <c r="J134" s="1311" t="str">
        <f t="shared" ref="J134" si="14">IF(B134="원광대1","수능100%","+학생부")</f>
        <v>수능100%</v>
      </c>
      <c r="K134" s="1312"/>
      <c r="L134" s="1348"/>
    </row>
    <row r="135" spans="1:50" s="9" customFormat="1" ht="20.100000000000001" customHeight="1" thickBot="1">
      <c r="A135" s="1348"/>
      <c r="B135" s="1281" t="s">
        <v>112</v>
      </c>
      <c r="C135" s="1282"/>
      <c r="D135" s="1282"/>
      <c r="E135" s="1282"/>
      <c r="F135" s="1282"/>
      <c r="G135" s="1282"/>
      <c r="H135" s="1282"/>
      <c r="I135" s="1282"/>
      <c r="J135" s="1282"/>
      <c r="K135" s="1283"/>
      <c r="L135" s="1348"/>
      <c r="M135" s="63"/>
      <c r="N135" s="63"/>
      <c r="O135" s="63"/>
      <c r="P135" s="63"/>
      <c r="Q135" s="63"/>
      <c r="R135" s="63"/>
      <c r="S135" s="63"/>
    </row>
    <row r="136" spans="1:50" s="9" customFormat="1" ht="20.100000000000001" customHeight="1">
      <c r="A136" s="1348"/>
      <c r="B136" s="1336" t="s">
        <v>144</v>
      </c>
      <c r="C136" s="1337"/>
      <c r="D136" s="1338"/>
      <c r="E136" s="1339" t="str">
        <f t="shared" ref="E136:E159" si="15">IF(OR(B136="건양대",B136="고신대",B136="동아대"),"가/나경쟁의예",IF(OR(B136="순천향대",B136="을지대"),"가/나,사/과경쟁",IF(B136="전남대1","나군의예",IF(B136="전남대2","가군의예",IF(OR(B136="충북대1",B136="중앙대",B136="동국대경주1",B136="원광대",B136="관동대1",B136="영남대1"),"가군의예",IF(OR(B136="충북대2",B136="중앙대1",B136="대구가톨릭대",B136="관동대",B136="계명대"),"나군의예",IF(OR(B136="동국대경주",B136="원광대1",B136="계명대1",B136="대구가톨릭대1",B136="영남대"),"다군의예","의예")))))))</f>
        <v>의예</v>
      </c>
      <c r="F136" s="1340"/>
      <c r="G136" s="1377">
        <f>VLOOKUP($B136,계산도구!$A$2:$G$529,4,FALSE)+VLOOKUP($B136,계산도구!$A$2:$G$529,5,FALSE)+VLOOKUP($B136,계산도구!$A$2:$G$529,6,FALSE)+VLOOKUP($B136,계산도구!$A$2:$G$529,7,FALSE)</f>
        <v>489.93</v>
      </c>
      <c r="H136" s="1378"/>
      <c r="I136" s="1379"/>
      <c r="J136" s="1382" t="str">
        <f t="shared" ref="J136:J168" si="16">IF(OR(B136="한림대",B136="중앙대1",B136="충북대2",B136="동국대경주1",B136="원광대1",B136="계명대1",B136="대구가톨릭대1",B136="관동대1",B136="동아대"),"수능100%",IF(OR(B136="아주대3"),"1단계",IF(OR(B136="영남대1"),"+면접","+학생부")))</f>
        <v>+학생부</v>
      </c>
      <c r="K136" s="1383"/>
      <c r="L136" s="1348"/>
      <c r="M136" s="63"/>
      <c r="N136" s="63"/>
      <c r="O136" s="63"/>
      <c r="P136" s="63"/>
      <c r="Q136" s="63"/>
      <c r="R136" s="63"/>
      <c r="S136" s="63"/>
    </row>
    <row r="137" spans="1:50" s="150" customFormat="1" ht="20.100000000000001" customHeight="1">
      <c r="A137" s="1348"/>
      <c r="B137" s="1289" t="s">
        <v>145</v>
      </c>
      <c r="C137" s="1288"/>
      <c r="D137" s="1290"/>
      <c r="E137" s="1313" t="str">
        <f t="shared" si="15"/>
        <v>의예</v>
      </c>
      <c r="F137" s="1314"/>
      <c r="G137" s="1278">
        <f>VLOOKUP($B137,계산도구!$A$2:$G$529,4,FALSE)+VLOOKUP($B137,계산도구!$A$2:$G$529,5,FALSE)+VLOOKUP($B137,계산도구!$A$2:$G$529,6,FALSE)+VLOOKUP($B137,계산도구!$A$2:$G$529,7,FALSE)</f>
        <v>297.23750000000001</v>
      </c>
      <c r="H137" s="1279"/>
      <c r="I137" s="1280"/>
      <c r="J137" s="1286" t="str">
        <f t="shared" si="16"/>
        <v>+학생부</v>
      </c>
      <c r="K137" s="1287"/>
      <c r="L137" s="1348"/>
    </row>
    <row r="138" spans="1:50" s="150" customFormat="1" ht="20.100000000000001" customHeight="1">
      <c r="A138" s="1348"/>
      <c r="B138" s="1289" t="s">
        <v>146</v>
      </c>
      <c r="C138" s="1288"/>
      <c r="D138" s="1290"/>
      <c r="E138" s="1313" t="str">
        <f t="shared" si="15"/>
        <v>의예</v>
      </c>
      <c r="F138" s="1314"/>
      <c r="G138" s="1278">
        <f>VLOOKUP($B138,계산도구!$A$2:$G$529,4,FALSE)+VLOOKUP($B138,계산도구!$A$2:$G$529,5,FALSE)+VLOOKUP($B138,계산도구!$A$2:$G$529,6,FALSE)+VLOOKUP($B138,계산도구!$A$2:$G$529,7,FALSE)</f>
        <v>407.80396948972151</v>
      </c>
      <c r="H138" s="1279"/>
      <c r="I138" s="1280"/>
      <c r="J138" s="1286" t="str">
        <f t="shared" si="16"/>
        <v>+학생부</v>
      </c>
      <c r="K138" s="1287"/>
      <c r="L138" s="1348"/>
    </row>
    <row r="139" spans="1:50" s="150" customFormat="1" ht="20.100000000000001" customHeight="1">
      <c r="A139" s="1348"/>
      <c r="B139" s="1289" t="s">
        <v>147</v>
      </c>
      <c r="C139" s="1288"/>
      <c r="D139" s="1290"/>
      <c r="E139" s="1313" t="str">
        <f t="shared" si="15"/>
        <v>의예</v>
      </c>
      <c r="F139" s="1314"/>
      <c r="G139" s="1278">
        <f>VLOOKUP($B139,계산도구!$A$2:$G$529,4,FALSE)+VLOOKUP($B139,계산도구!$A$2:$G$529,5,FALSE)+VLOOKUP($B139,계산도구!$A$2:$G$529,6,FALSE)+VLOOKUP($B139,계산도구!$A$2:$G$529,7,FALSE)</f>
        <v>551.95469381870612</v>
      </c>
      <c r="H139" s="1279"/>
      <c r="I139" s="1280"/>
      <c r="J139" s="1286" t="str">
        <f t="shared" si="16"/>
        <v>+학생부</v>
      </c>
      <c r="K139" s="1287"/>
      <c r="L139" s="1348"/>
    </row>
    <row r="140" spans="1:50" s="150" customFormat="1" ht="20.100000000000001" customHeight="1">
      <c r="A140" s="1348"/>
      <c r="B140" s="1289" t="s">
        <v>148</v>
      </c>
      <c r="C140" s="1288"/>
      <c r="D140" s="1290"/>
      <c r="E140" s="1313" t="str">
        <f t="shared" si="15"/>
        <v>의예</v>
      </c>
      <c r="F140" s="1314"/>
      <c r="G140" s="1278">
        <f>VLOOKUP($B140,계산도구!$A$2:$G$529,4,FALSE)+VLOOKUP($B140,계산도구!$A$2:$G$529,5,FALSE)+VLOOKUP($B140,계산도구!$A$2:$G$529,6,FALSE)+VLOOKUP($B140,계산도구!$A$2:$G$529,7,FALSE)</f>
        <v>578.37930412869378</v>
      </c>
      <c r="H140" s="1279"/>
      <c r="I140" s="1280"/>
      <c r="J140" s="1286" t="str">
        <f t="shared" si="16"/>
        <v>+학생부</v>
      </c>
      <c r="K140" s="1287"/>
      <c r="L140" s="1348"/>
    </row>
    <row r="141" spans="1:50" s="150" customFormat="1" ht="20.100000000000001" customHeight="1">
      <c r="A141" s="1348"/>
      <c r="B141" s="1289" t="s">
        <v>218</v>
      </c>
      <c r="C141" s="1288"/>
      <c r="D141" s="1290"/>
      <c r="E141" s="1313" t="str">
        <f t="shared" si="15"/>
        <v>의예</v>
      </c>
      <c r="F141" s="1314"/>
      <c r="G141" s="1278">
        <f>VLOOKUP($B141,계산도구!$A$2:$G$529,4,FALSE)+VLOOKUP($B141,계산도구!$A$2:$G$529,5,FALSE)+VLOOKUP($B141,계산도구!$A$2:$G$529,6,FALSE)+VLOOKUP($B141,계산도구!$A$2:$G$529,7,FALSE)</f>
        <v>415.51299999999998</v>
      </c>
      <c r="H141" s="1279"/>
      <c r="I141" s="1280"/>
      <c r="J141" s="1286" t="str">
        <f t="shared" si="16"/>
        <v>+학생부</v>
      </c>
      <c r="K141" s="1287"/>
      <c r="L141" s="1348"/>
    </row>
    <row r="142" spans="1:50" s="150" customFormat="1" ht="20.100000000000001" customHeight="1">
      <c r="A142" s="1348"/>
      <c r="B142" s="1289" t="s">
        <v>149</v>
      </c>
      <c r="C142" s="1288"/>
      <c r="D142" s="1290"/>
      <c r="E142" s="1313" t="str">
        <f t="shared" si="15"/>
        <v>의예</v>
      </c>
      <c r="F142" s="1314"/>
      <c r="G142" s="1278">
        <f>VLOOKUP($B142,계산도구!$A$2:$G$529,4,FALSE)+VLOOKUP($B142,계산도구!$A$2:$G$529,5,FALSE)+VLOOKUP($B142,계산도구!$A$2:$G$529,6,FALSE)+VLOOKUP($B142,계산도구!$A$2:$G$529,7,FALSE)</f>
        <v>575.10406535547475</v>
      </c>
      <c r="H142" s="1279"/>
      <c r="I142" s="1280"/>
      <c r="J142" s="1286" t="str">
        <f t="shared" si="16"/>
        <v>+학생부</v>
      </c>
      <c r="K142" s="1287"/>
      <c r="L142" s="1348"/>
    </row>
    <row r="143" spans="1:50" s="150" customFormat="1" ht="20.100000000000001" customHeight="1">
      <c r="A143" s="1348"/>
      <c r="B143" s="1289" t="s">
        <v>150</v>
      </c>
      <c r="C143" s="1288"/>
      <c r="D143" s="1290"/>
      <c r="E143" s="1313" t="str">
        <f t="shared" si="15"/>
        <v>의예</v>
      </c>
      <c r="F143" s="1314"/>
      <c r="G143" s="1278">
        <f>VLOOKUP($B143,계산도구!$A$2:$G$529,4,FALSE)+VLOOKUP($B143,계산도구!$A$2:$G$529,5,FALSE)+VLOOKUP($B143,계산도구!$A$2:$G$529,6,FALSE)+VLOOKUP($B143,계산도구!$A$2:$G$529,7,FALSE)</f>
        <v>356</v>
      </c>
      <c r="H143" s="1279"/>
      <c r="I143" s="1280"/>
      <c r="J143" s="1286" t="str">
        <f t="shared" si="16"/>
        <v>+학생부</v>
      </c>
      <c r="K143" s="1287"/>
      <c r="L143" s="1348"/>
    </row>
    <row r="144" spans="1:50" s="150" customFormat="1" ht="20.100000000000001" customHeight="1">
      <c r="A144" s="1348"/>
      <c r="B144" s="1289" t="s">
        <v>151</v>
      </c>
      <c r="C144" s="1288"/>
      <c r="D144" s="1290"/>
      <c r="E144" s="1313" t="str">
        <f t="shared" si="15"/>
        <v>의예</v>
      </c>
      <c r="F144" s="1314"/>
      <c r="G144" s="1278">
        <f>VLOOKUP($B144,계산도구!$A$2:$G$529,4,FALSE)+VLOOKUP($B144,계산도구!$A$2:$G$529,5,FALSE)+VLOOKUP($B144,계산도구!$A$2:$G$529,6,FALSE)+VLOOKUP($B144,계산도구!$A$2:$G$529,7,FALSE)</f>
        <v>802.49983485189478</v>
      </c>
      <c r="H144" s="1279"/>
      <c r="I144" s="1280"/>
      <c r="J144" s="1286" t="str">
        <f t="shared" si="16"/>
        <v>수능100%</v>
      </c>
      <c r="K144" s="1287"/>
      <c r="L144" s="1348"/>
    </row>
    <row r="145" spans="1:19" s="150" customFormat="1" ht="20.100000000000001" customHeight="1">
      <c r="A145" s="1348"/>
      <c r="B145" s="1289" t="s">
        <v>447</v>
      </c>
      <c r="C145" s="1288"/>
      <c r="D145" s="1290"/>
      <c r="E145" s="1313" t="str">
        <f t="shared" si="15"/>
        <v>의예</v>
      </c>
      <c r="F145" s="1314"/>
      <c r="G145" s="1278">
        <f>VLOOKUP($B145,계산도구!$A$2:$G$529,4,FALSE)+VLOOKUP($B145,계산도구!$A$2:$G$529,5,FALSE)+VLOOKUP($B145,계산도구!$A$2:$G$529,6,FALSE)+VLOOKUP($B145,계산도구!$A$2:$G$529,7,FALSE)</f>
        <v>551.75</v>
      </c>
      <c r="H145" s="1279"/>
      <c r="I145" s="1280"/>
      <c r="J145" s="1286" t="str">
        <f t="shared" si="16"/>
        <v>1단계</v>
      </c>
      <c r="K145" s="1287"/>
      <c r="L145" s="1348"/>
      <c r="M145" s="150" t="s">
        <v>103</v>
      </c>
    </row>
    <row r="146" spans="1:19" s="150" customFormat="1" ht="20.100000000000001" customHeight="1">
      <c r="A146" s="1348"/>
      <c r="B146" s="1289" t="s">
        <v>152</v>
      </c>
      <c r="C146" s="1288"/>
      <c r="D146" s="1290"/>
      <c r="E146" s="1313" t="str">
        <f t="shared" si="15"/>
        <v>가군의예</v>
      </c>
      <c r="F146" s="1314"/>
      <c r="G146" s="1278">
        <f>VLOOKUP($B146,계산도구!$A$2:$G$529,4,FALSE)+VLOOKUP($B146,계산도구!$A$2:$G$529,5,FALSE)+VLOOKUP($B146,계산도구!$A$2:$G$529,6,FALSE)+VLOOKUP($B146,계산도구!$A$2:$G$529,7,FALSE)</f>
        <v>571.44100000000003</v>
      </c>
      <c r="H146" s="1279"/>
      <c r="I146" s="1280"/>
      <c r="J146" s="1286" t="str">
        <f t="shared" si="16"/>
        <v>+학생부</v>
      </c>
      <c r="K146" s="1287"/>
      <c r="L146" s="1348"/>
    </row>
    <row r="147" spans="1:19" s="1206" customFormat="1" ht="20.100000000000001" customHeight="1">
      <c r="A147" s="1348"/>
      <c r="B147" s="1289" t="s">
        <v>437</v>
      </c>
      <c r="C147" s="1288"/>
      <c r="D147" s="1290"/>
      <c r="E147" s="1313" t="str">
        <f t="shared" si="15"/>
        <v>나군의예</v>
      </c>
      <c r="F147" s="1314"/>
      <c r="G147" s="1278">
        <f>G146*10/7</f>
        <v>816.34428571428566</v>
      </c>
      <c r="H147" s="1279"/>
      <c r="I147" s="1280"/>
      <c r="J147" s="1286" t="str">
        <f t="shared" si="16"/>
        <v>수능100%</v>
      </c>
      <c r="K147" s="1287"/>
      <c r="L147" s="1348"/>
    </row>
    <row r="148" spans="1:19" s="150" customFormat="1" ht="20.100000000000001" customHeight="1">
      <c r="A148" s="1348"/>
      <c r="B148" s="1289" t="s">
        <v>381</v>
      </c>
      <c r="C148" s="1288"/>
      <c r="D148" s="1290"/>
      <c r="E148" s="1313" t="str">
        <f t="shared" si="15"/>
        <v>나군의예</v>
      </c>
      <c r="F148" s="1314"/>
      <c r="G148" s="1278">
        <f>VLOOKUP($B148,계산도구!$A$2:$G$529,4,FALSE)+VLOOKUP($B148,계산도구!$A$2:$G$529,5,FALSE)+VLOOKUP($B148,계산도구!$A$2:$G$529,6,FALSE)+VLOOKUP($B148,계산도구!$A$2:$G$529,7,FALSE)</f>
        <v>412.15119371147796</v>
      </c>
      <c r="H148" s="1279"/>
      <c r="I148" s="1280"/>
      <c r="J148" s="1286" t="str">
        <f t="shared" si="16"/>
        <v>+학생부</v>
      </c>
      <c r="K148" s="1287"/>
      <c r="L148" s="1348"/>
    </row>
    <row r="149" spans="1:19" s="1157" customFormat="1" ht="20.100000000000001" customHeight="1">
      <c r="A149" s="1348"/>
      <c r="B149" s="1289" t="s">
        <v>434</v>
      </c>
      <c r="C149" s="1288"/>
      <c r="D149" s="1290"/>
      <c r="E149" s="1313" t="str">
        <f t="shared" si="15"/>
        <v>가군의예</v>
      </c>
      <c r="F149" s="1314"/>
      <c r="G149" s="1278">
        <f>G148*10/5</f>
        <v>824.30238742295592</v>
      </c>
      <c r="H149" s="1279"/>
      <c r="I149" s="1280"/>
      <c r="J149" s="1286" t="str">
        <f t="shared" si="16"/>
        <v>+학생부</v>
      </c>
      <c r="K149" s="1287"/>
      <c r="L149" s="1348"/>
    </row>
    <row r="150" spans="1:19" s="9" customFormat="1" ht="20.100000000000001" customHeight="1">
      <c r="A150" s="1348"/>
      <c r="B150" s="1289" t="s">
        <v>390</v>
      </c>
      <c r="C150" s="1288"/>
      <c r="D150" s="1290"/>
      <c r="E150" s="1313" t="str">
        <f t="shared" si="15"/>
        <v>의예</v>
      </c>
      <c r="F150" s="1314"/>
      <c r="G150" s="1278">
        <f>VLOOKUP($B150,계산도구!$A$2:$G$529,4,FALSE)+VLOOKUP($B150,계산도구!$A$2:$G$529,5,FALSE)+VLOOKUP($B150,계산도구!$A$2:$G$529,6,FALSE)+VLOOKUP($B150,계산도구!$A$2:$G$529,7,FALSE)</f>
        <v>297.23750000000001</v>
      </c>
      <c r="H150" s="1279"/>
      <c r="I150" s="1280"/>
      <c r="J150" s="1286" t="str">
        <f t="shared" si="16"/>
        <v>+학생부</v>
      </c>
      <c r="K150" s="1287"/>
      <c r="L150" s="1348"/>
      <c r="M150" s="63"/>
      <c r="N150" s="63"/>
      <c r="O150" s="63"/>
      <c r="P150" s="63"/>
      <c r="Q150" s="63"/>
      <c r="R150" s="63"/>
      <c r="S150" s="63"/>
    </row>
    <row r="151" spans="1:19" s="150" customFormat="1" ht="20.100000000000001" customHeight="1">
      <c r="A151" s="1348"/>
      <c r="B151" s="1289" t="s">
        <v>359</v>
      </c>
      <c r="C151" s="1288"/>
      <c r="D151" s="1290"/>
      <c r="E151" s="1313" t="str">
        <f t="shared" si="15"/>
        <v>가군의예</v>
      </c>
      <c r="F151" s="1314"/>
      <c r="G151" s="1278">
        <f>VLOOKUP($B151,계산도구!$A$2:$G$529,4,FALSE)+VLOOKUP($B151,계산도구!$A$2:$G$529,5,FALSE)+VLOOKUP($B151,계산도구!$A$2:$G$529,6,FALSE)+VLOOKUP($B151,계산도구!$A$2:$G$529,7,FALSE)</f>
        <v>555.4</v>
      </c>
      <c r="H151" s="1279"/>
      <c r="I151" s="1280"/>
      <c r="J151" s="1286" t="str">
        <f t="shared" si="16"/>
        <v>+학생부</v>
      </c>
      <c r="K151" s="1287"/>
      <c r="L151" s="1348"/>
    </row>
    <row r="152" spans="1:19" s="1157" customFormat="1" ht="20.100000000000001" customHeight="1">
      <c r="A152" s="1348"/>
      <c r="B152" s="1289" t="s">
        <v>435</v>
      </c>
      <c r="C152" s="1288"/>
      <c r="D152" s="1290"/>
      <c r="E152" s="1313" t="str">
        <f t="shared" si="15"/>
        <v>나군의예</v>
      </c>
      <c r="F152" s="1314"/>
      <c r="G152" s="1278">
        <f>G151+400</f>
        <v>955.4</v>
      </c>
      <c r="H152" s="1279"/>
      <c r="I152" s="1280"/>
      <c r="J152" s="1286" t="str">
        <f t="shared" si="16"/>
        <v>수능100%</v>
      </c>
      <c r="K152" s="1287"/>
      <c r="L152" s="1348"/>
    </row>
    <row r="153" spans="1:19" s="150" customFormat="1" ht="20.100000000000001" customHeight="1">
      <c r="A153" s="1348"/>
      <c r="B153" s="1289" t="s">
        <v>153</v>
      </c>
      <c r="C153" s="1288"/>
      <c r="D153" s="1290"/>
      <c r="E153" s="1313" t="str">
        <f t="shared" si="15"/>
        <v>다군의예</v>
      </c>
      <c r="F153" s="1314"/>
      <c r="G153" s="1278">
        <f>VLOOKUP($B153,계산도구!$A$2:$G$529,4,FALSE)+VLOOKUP($B153,계산도구!$A$2:$G$529,5,FALSE)+VLOOKUP($B153,계산도구!$A$2:$G$529,6,FALSE)+VLOOKUP($B153,계산도구!$A$2:$G$529,7,FALSE)</f>
        <v>381.09999999999997</v>
      </c>
      <c r="H153" s="1279"/>
      <c r="I153" s="1280"/>
      <c r="J153" s="1286" t="str">
        <f t="shared" si="16"/>
        <v>+학생부</v>
      </c>
      <c r="K153" s="1287"/>
      <c r="L153" s="1348"/>
    </row>
    <row r="154" spans="1:19" s="1206" customFormat="1" ht="20.100000000000001" customHeight="1">
      <c r="A154" s="1348"/>
      <c r="B154" s="1289" t="s">
        <v>448</v>
      </c>
      <c r="C154" s="1288"/>
      <c r="D154" s="1290"/>
      <c r="E154" s="1313" t="str">
        <f t="shared" si="15"/>
        <v>가군의예</v>
      </c>
      <c r="F154" s="1314"/>
      <c r="G154" s="1278">
        <f>G153*10/6</f>
        <v>635.16666666666663</v>
      </c>
      <c r="H154" s="1279"/>
      <c r="I154" s="1280"/>
      <c r="J154" s="1286" t="str">
        <f t="shared" si="16"/>
        <v>수능100%</v>
      </c>
      <c r="K154" s="1287"/>
      <c r="L154" s="1348"/>
    </row>
    <row r="155" spans="1:19" s="150" customFormat="1" ht="20.100000000000001" customHeight="1">
      <c r="A155" s="1348"/>
      <c r="B155" s="1327" t="s">
        <v>154</v>
      </c>
      <c r="C155" s="1328"/>
      <c r="D155" s="1329"/>
      <c r="E155" s="1313" t="str">
        <f t="shared" si="15"/>
        <v>다군의예</v>
      </c>
      <c r="F155" s="1314"/>
      <c r="G155" s="1278">
        <f>VLOOKUP($B155,계산도구!$A$2:$G$529,4,FALSE)+VLOOKUP($B155,계산도구!$A$2:$G$529,5,FALSE)+VLOOKUP($B155,계산도구!$A$2:$G$529,6,FALSE)+VLOOKUP($B155,계산도구!$A$2:$G$529,7,FALSE)</f>
        <v>434.37333333333328</v>
      </c>
      <c r="H155" s="1279"/>
      <c r="I155" s="1280"/>
      <c r="J155" s="1286" t="str">
        <f t="shared" si="16"/>
        <v>+학생부</v>
      </c>
      <c r="K155" s="1287"/>
      <c r="L155" s="1348"/>
    </row>
    <row r="156" spans="1:19" s="1206" customFormat="1" ht="20.100000000000001" customHeight="1">
      <c r="A156" s="1348"/>
      <c r="B156" s="1327" t="s">
        <v>454</v>
      </c>
      <c r="C156" s="1328"/>
      <c r="D156" s="1329"/>
      <c r="E156" s="1313" t="str">
        <f t="shared" si="15"/>
        <v>가군의예</v>
      </c>
      <c r="F156" s="1314"/>
      <c r="G156" s="1278">
        <f>G155*640/560</f>
        <v>496.42666666666656</v>
      </c>
      <c r="H156" s="1279"/>
      <c r="I156" s="1280"/>
      <c r="J156" s="1286" t="str">
        <f t="shared" si="16"/>
        <v>+면접</v>
      </c>
      <c r="K156" s="1287"/>
      <c r="L156" s="1348"/>
    </row>
    <row r="157" spans="1:19" s="150" customFormat="1" ht="20.100000000000001" customHeight="1">
      <c r="A157" s="1348"/>
      <c r="B157" s="1289" t="s">
        <v>155</v>
      </c>
      <c r="C157" s="1288"/>
      <c r="D157" s="1290"/>
      <c r="E157" s="1313" t="str">
        <f t="shared" si="15"/>
        <v>의예</v>
      </c>
      <c r="F157" s="1314"/>
      <c r="G157" s="1278">
        <f>VLOOKUP($B157,계산도구!$A$2:$G$529,4,FALSE)+VLOOKUP($B157,계산도구!$A$2:$G$529,5,FALSE)+VLOOKUP($B157,계산도구!$A$2:$G$529,6,FALSE)+VLOOKUP($B157,계산도구!$A$2:$G$529,7,FALSE)</f>
        <v>726.31893833589766</v>
      </c>
      <c r="H157" s="1279"/>
      <c r="I157" s="1280"/>
      <c r="J157" s="1286" t="str">
        <f t="shared" si="16"/>
        <v>+학생부</v>
      </c>
      <c r="K157" s="1287"/>
      <c r="L157" s="1348"/>
    </row>
    <row r="158" spans="1:19" s="150" customFormat="1" ht="20.100000000000001" customHeight="1">
      <c r="A158" s="1348"/>
      <c r="B158" s="1289" t="s">
        <v>157</v>
      </c>
      <c r="C158" s="1288"/>
      <c r="D158" s="1290"/>
      <c r="E158" s="1313" t="str">
        <f t="shared" si="15"/>
        <v>가군의예</v>
      </c>
      <c r="F158" s="1314"/>
      <c r="G158" s="1278">
        <f>VLOOKUP($B158,계산도구!$A$2:$G$529,4,FALSE)+VLOOKUP($B158,계산도구!$A$2:$G$529,5,FALSE)+VLOOKUP($B158,계산도구!$A$2:$G$529,6,FALSE)+VLOOKUP($B158,계산도구!$A$2:$G$529,7,FALSE)</f>
        <v>498.5</v>
      </c>
      <c r="H158" s="1279"/>
      <c r="I158" s="1280"/>
      <c r="J158" s="1286" t="str">
        <f t="shared" si="16"/>
        <v>+학생부</v>
      </c>
      <c r="K158" s="1287"/>
      <c r="L158" s="1348"/>
    </row>
    <row r="159" spans="1:19" s="1206" customFormat="1" ht="20.100000000000001" customHeight="1">
      <c r="A159" s="1348"/>
      <c r="B159" s="1289" t="s">
        <v>449</v>
      </c>
      <c r="C159" s="1288"/>
      <c r="D159" s="1290"/>
      <c r="E159" s="1313" t="str">
        <f t="shared" si="15"/>
        <v>다군의예</v>
      </c>
      <c r="F159" s="1314"/>
      <c r="G159" s="1278">
        <f>G158*8/6</f>
        <v>664.66666666666663</v>
      </c>
      <c r="H159" s="1279"/>
      <c r="I159" s="1280"/>
      <c r="J159" s="1286" t="str">
        <f t="shared" si="16"/>
        <v>수능100%</v>
      </c>
      <c r="K159" s="1287"/>
      <c r="L159" s="1348"/>
    </row>
    <row r="160" spans="1:19" s="150" customFormat="1" ht="20.100000000000001" customHeight="1">
      <c r="A160" s="1348"/>
      <c r="B160" s="1289" t="s">
        <v>158</v>
      </c>
      <c r="C160" s="1288"/>
      <c r="D160" s="1290"/>
      <c r="E160" s="1313" t="str">
        <f>IF(OR(B160="건양대",B160="고신대",B160="동아대"),"가/나경쟁의예",IF(OR(B160="순천향대",B160="을지대"),"가/나,사/과경쟁",IF(B160="전남대1","나군의예",IF(B160="전남대2","가군의예",IF(OR(B160="충북대1",B160="중앙대",B160="동국대경주1",B160="원광대",B160="관동대1",B160="영남대1"),"가군의예",IF(OR(B160="충북대2",B160="중앙대1",B160="대구가톨릭대",B160="관동대",B160="계명대"),"나군의예",IF(OR(B160="동국대경주",B160="원광대1",B160="계명대1",B160="대구가톨릭대1",B160="영남대"),"다군의예","의예")))))))</f>
        <v>나군의예</v>
      </c>
      <c r="F160" s="1314"/>
      <c r="G160" s="1278">
        <f>VLOOKUP($B160,계산도구!$A$2:$G$529,4,FALSE)+VLOOKUP($B160,계산도구!$A$2:$G$529,5,FALSE)+VLOOKUP($B160,계산도구!$A$2:$G$529,6,FALSE)+VLOOKUP($B160,계산도구!$A$2:$G$529,7,FALSE)</f>
        <v>472.33500000000004</v>
      </c>
      <c r="H160" s="1279"/>
      <c r="I160" s="1280"/>
      <c r="J160" s="1286" t="str">
        <f t="shared" si="16"/>
        <v>+학생부</v>
      </c>
      <c r="K160" s="1287"/>
      <c r="L160" s="1348"/>
    </row>
    <row r="161" spans="1:42" s="1206" customFormat="1" ht="20.100000000000001" customHeight="1">
      <c r="A161" s="1348"/>
      <c r="B161" s="1289" t="s">
        <v>450</v>
      </c>
      <c r="C161" s="1288"/>
      <c r="D161" s="1290"/>
      <c r="E161" s="1313" t="str">
        <f t="shared" ref="E161:E171" si="17">IF(OR(B161="건양대",B161="고신대",B161="동아대"),"가/나경쟁의예",IF(OR(B161="순천향대",B161="을지대"),"가/나,사/과경쟁",IF(B161="전남대1","나군의예",IF(B161="전남대2","가군의예",IF(OR(B161="충북대1",B161="중앙대",B161="동국대경주1",B161="원광대",B161="관동대1",B161="영남대1"),"가군의예",IF(OR(B161="충북대2",B161="중앙대1",B161="대구가톨릭대",B161="관동대",B161="계명대"),"나군의예",IF(OR(B161="동국대경주",B161="원광대1",B161="계명대1",B161="대구가톨릭대1",B161="영남대"),"다군의예","의예")))))))</f>
        <v>다군의예</v>
      </c>
      <c r="F161" s="1314"/>
      <c r="G161" s="1278">
        <f>G160*10/6</f>
        <v>787.22500000000002</v>
      </c>
      <c r="H161" s="1279"/>
      <c r="I161" s="1280"/>
      <c r="J161" s="1286" t="str">
        <f t="shared" si="16"/>
        <v>수능100%</v>
      </c>
      <c r="K161" s="1287"/>
      <c r="L161" s="1348"/>
    </row>
    <row r="162" spans="1:42" s="150" customFormat="1" ht="20.100000000000001" customHeight="1">
      <c r="A162" s="1348"/>
      <c r="B162" s="1289" t="s">
        <v>159</v>
      </c>
      <c r="C162" s="1288"/>
      <c r="D162" s="1290"/>
      <c r="E162" s="1313" t="str">
        <f t="shared" si="17"/>
        <v>나군의예</v>
      </c>
      <c r="F162" s="1314"/>
      <c r="G162" s="1278">
        <f>VLOOKUP($B162,계산도구!$A$2:$G$529,4,FALSE)+VLOOKUP($B162,계산도구!$A$2:$G$529,5,FALSE)+VLOOKUP($B162,계산도구!$A$2:$G$529,6,FALSE)+VLOOKUP($B162,계산도구!$A$2:$G$529,7,FALSE)</f>
        <v>649.13225233755475</v>
      </c>
      <c r="H162" s="1279"/>
      <c r="I162" s="1280"/>
      <c r="J162" s="1286" t="str">
        <f t="shared" si="16"/>
        <v>+학생부</v>
      </c>
      <c r="K162" s="1287"/>
      <c r="L162" s="1348"/>
    </row>
    <row r="163" spans="1:42" s="1206" customFormat="1" ht="20.100000000000001" customHeight="1">
      <c r="A163" s="1348"/>
      <c r="B163" s="1289" t="s">
        <v>451</v>
      </c>
      <c r="C163" s="1288"/>
      <c r="D163" s="1290"/>
      <c r="E163" s="1313" t="str">
        <f t="shared" si="17"/>
        <v>다군의예</v>
      </c>
      <c r="F163" s="1314"/>
      <c r="G163" s="1278">
        <f>G162*6/8</f>
        <v>486.84918925316606</v>
      </c>
      <c r="H163" s="1279"/>
      <c r="I163" s="1280"/>
      <c r="J163" s="1286" t="str">
        <f t="shared" si="16"/>
        <v>수능100%</v>
      </c>
      <c r="K163" s="1287"/>
      <c r="L163" s="1348"/>
    </row>
    <row r="164" spans="1:42" s="150" customFormat="1" ht="20.100000000000001" customHeight="1">
      <c r="A164" s="1348"/>
      <c r="B164" s="1289" t="s">
        <v>160</v>
      </c>
      <c r="C164" s="1288"/>
      <c r="D164" s="1290"/>
      <c r="E164" s="1313" t="str">
        <f t="shared" si="17"/>
        <v>나군의예</v>
      </c>
      <c r="F164" s="1314"/>
      <c r="G164" s="1278">
        <f>VLOOKUP($B164,계산도구!$A$2:$G$529,4,FALSE)+VLOOKUP($B164,계산도구!$A$2:$G$529,5,FALSE)+VLOOKUP($B164,계산도구!$A$2:$G$529,6,FALSE)+VLOOKUP($B164,계산도구!$A$2:$G$529,7,FALSE)</f>
        <v>463.26</v>
      </c>
      <c r="H164" s="1279"/>
      <c r="I164" s="1280"/>
      <c r="J164" s="1286" t="str">
        <f t="shared" si="16"/>
        <v>+학생부</v>
      </c>
      <c r="K164" s="1287"/>
      <c r="L164" s="1348"/>
    </row>
    <row r="165" spans="1:42" s="1206" customFormat="1" ht="20.100000000000001" customHeight="1">
      <c r="A165" s="1348"/>
      <c r="B165" s="1289" t="s">
        <v>452</v>
      </c>
      <c r="C165" s="1288"/>
      <c r="D165" s="1290"/>
      <c r="E165" s="1313" t="str">
        <f t="shared" si="17"/>
        <v>가군의예</v>
      </c>
      <c r="F165" s="1314"/>
      <c r="G165" s="1278">
        <f>G164*10/6</f>
        <v>772.1</v>
      </c>
      <c r="H165" s="1279"/>
      <c r="I165" s="1280"/>
      <c r="J165" s="1286" t="str">
        <f t="shared" si="16"/>
        <v>수능100%</v>
      </c>
      <c r="K165" s="1287"/>
      <c r="L165" s="1348"/>
    </row>
    <row r="166" spans="1:42" s="764" customFormat="1" ht="20.100000000000001" customHeight="1">
      <c r="A166" s="1348"/>
      <c r="B166" s="1324" t="s">
        <v>265</v>
      </c>
      <c r="C166" s="1325"/>
      <c r="D166" s="1326"/>
      <c r="E166" s="1313" t="str">
        <f t="shared" si="17"/>
        <v>의예</v>
      </c>
      <c r="F166" s="1314"/>
      <c r="G166" s="1278">
        <f>VLOOKUP($B166,계산도구!$A$2:$G$529,4,FALSE)+VLOOKUP($B166,계산도구!$A$2:$G$529,5,FALSE)+VLOOKUP($B166,계산도구!$A$2:$G$529,6,FALSE)+VLOOKUP($B166,계산도구!$A$2:$G$529,7,FALSE)</f>
        <v>636</v>
      </c>
      <c r="H166" s="1279"/>
      <c r="I166" s="1280"/>
      <c r="J166" s="1319" t="str">
        <f t="shared" si="16"/>
        <v>+학생부</v>
      </c>
      <c r="K166" s="1320"/>
      <c r="L166" s="1348"/>
    </row>
    <row r="167" spans="1:42" s="150" customFormat="1" ht="20.100000000000001" customHeight="1">
      <c r="A167" s="1348"/>
      <c r="B167" s="1289" t="s">
        <v>161</v>
      </c>
      <c r="C167" s="1288"/>
      <c r="D167" s="1290"/>
      <c r="E167" s="1317" t="str">
        <f t="shared" si="17"/>
        <v>가/나,사/과경쟁</v>
      </c>
      <c r="F167" s="1318"/>
      <c r="G167" s="1278">
        <f>VLOOKUP($B167,계산도구!$A$2:$G$529,4,FALSE)+VLOOKUP($B167,계산도구!$A$2:$G$529,5,FALSE)+VLOOKUP($B167,계산도구!$A$2:$G$529,6,FALSE)+VLOOKUP($B167,계산도구!$A$2:$G$529,7,FALSE)</f>
        <v>387.5</v>
      </c>
      <c r="H167" s="1279"/>
      <c r="I167" s="1280"/>
      <c r="J167" s="1286" t="str">
        <f t="shared" si="16"/>
        <v>+학생부</v>
      </c>
      <c r="K167" s="1287"/>
      <c r="L167" s="1348"/>
    </row>
    <row r="168" spans="1:42" s="150" customFormat="1" ht="20.100000000000001" customHeight="1">
      <c r="A168" s="1348"/>
      <c r="B168" s="1289" t="s">
        <v>162</v>
      </c>
      <c r="C168" s="1288"/>
      <c r="D168" s="1290"/>
      <c r="E168" s="1317" t="str">
        <f t="shared" si="17"/>
        <v>가/나,사/과경쟁</v>
      </c>
      <c r="F168" s="1318"/>
      <c r="G168" s="1278">
        <f>VLOOKUP($B168,계산도구!$A$2:$G$529,4,FALSE)+VLOOKUP($B168,계산도구!$A$2:$G$529,5,FALSE)+VLOOKUP($B168,계산도구!$A$2:$G$529,6,FALSE)+VLOOKUP($B168,계산도구!$A$2:$G$529,7,FALSE)</f>
        <v>630.52499999999998</v>
      </c>
      <c r="H168" s="1279"/>
      <c r="I168" s="1280"/>
      <c r="J168" s="1286" t="str">
        <f t="shared" si="16"/>
        <v>+학생부</v>
      </c>
      <c r="K168" s="1287"/>
      <c r="L168" s="1348"/>
    </row>
    <row r="169" spans="1:42" s="406" customFormat="1" ht="20.100000000000001" customHeight="1">
      <c r="A169" s="1348"/>
      <c r="B169" s="1289" t="s">
        <v>156</v>
      </c>
      <c r="C169" s="1288"/>
      <c r="D169" s="1290"/>
      <c r="E169" s="1315" t="str">
        <f t="shared" si="17"/>
        <v>가/나경쟁의예</v>
      </c>
      <c r="F169" s="1316"/>
      <c r="G169" s="1278">
        <f>VLOOKUP($B169,계산도구!$A$2:$G$529,4,FALSE)+VLOOKUP($B169,계산도구!$A$2:$G$529,5,FALSE)+VLOOKUP($B169,계산도구!$A$2:$G$529,6,FALSE)+VLOOKUP($B169,계산도구!$A$2:$G$529,7,FALSE)</f>
        <v>552</v>
      </c>
      <c r="H169" s="1279"/>
      <c r="I169" s="1280"/>
      <c r="J169" s="1286" t="str">
        <f>IF(OR(B169="한림대",B169="중앙대1",B169="충북대2",B169="동국대경주1",B169="원광대1",B169="계명대1",B169="대구가톨릭대1",B169="관동대1",B169="동아대"),"수능100%",IF(OR(B169="아주대3"),"1단계",IF(OR(B169="영남대1"),"+면접","+학생부")))</f>
        <v>수능100%</v>
      </c>
      <c r="K169" s="1287"/>
      <c r="L169" s="1348"/>
    </row>
    <row r="170" spans="1:42" s="150" customFormat="1" ht="20.100000000000001" customHeight="1">
      <c r="A170" s="1348"/>
      <c r="B170" s="1289" t="s">
        <v>163</v>
      </c>
      <c r="C170" s="1288"/>
      <c r="D170" s="1290"/>
      <c r="E170" s="1315" t="str">
        <f t="shared" si="17"/>
        <v>가/나경쟁의예</v>
      </c>
      <c r="F170" s="1316"/>
      <c r="G170" s="1278">
        <f>VLOOKUP($B170,계산도구!$A$2:$G$529,4,FALSE)+VLOOKUP($B170,계산도구!$A$2:$G$529,5,FALSE)+VLOOKUP($B170,계산도구!$A$2:$G$529,6,FALSE)+VLOOKUP($B170,계산도구!$A$2:$G$529,7,FALSE)</f>
        <v>327.96749999999997</v>
      </c>
      <c r="H170" s="1279"/>
      <c r="I170" s="1280"/>
      <c r="J170" s="1286" t="str">
        <f t="shared" ref="J170:J171" si="18">IF(OR(B170="한림대",B170="중앙대1",B170="충북대2",B170="동국대경주1",B170="원광대1",B170="계명대1",B170="대구가톨릭대1",B170="관동대1",B170="동아대"),"수능100%",IF(OR(B170="아주대3"),"1단계",IF(OR(B170="영남대1"),"+면접","+학생부")))</f>
        <v>+학생부</v>
      </c>
      <c r="K170" s="1287"/>
      <c r="L170" s="1348"/>
    </row>
    <row r="171" spans="1:42" s="150" customFormat="1" ht="20.100000000000001" customHeight="1" thickBot="1">
      <c r="A171" s="1348"/>
      <c r="B171" s="1303" t="s">
        <v>164</v>
      </c>
      <c r="C171" s="1304"/>
      <c r="D171" s="1305"/>
      <c r="E171" s="1306" t="str">
        <f t="shared" si="17"/>
        <v>가/나경쟁의예</v>
      </c>
      <c r="F171" s="1307"/>
      <c r="G171" s="1308">
        <f>VLOOKUP($B171,계산도구!$A$2:$G$529,4,FALSE)+VLOOKUP($B171,계산도구!$A$2:$G$529,5,FALSE)+VLOOKUP($B171,계산도구!$A$2:$G$529,6,FALSE)+VLOOKUP($B171,계산도구!$A$2:$G$529,7,FALSE)</f>
        <v>610.25</v>
      </c>
      <c r="H171" s="1309"/>
      <c r="I171" s="1310"/>
      <c r="J171" s="1311" t="str">
        <f t="shared" si="18"/>
        <v>+학생부</v>
      </c>
      <c r="K171" s="1312"/>
      <c r="L171" s="1348"/>
    </row>
    <row r="172" spans="1:42" ht="12.75" customHeight="1">
      <c r="A172" s="1348"/>
      <c r="B172" s="1348"/>
      <c r="C172" s="1348"/>
      <c r="D172" s="1348"/>
      <c r="E172" s="1348"/>
      <c r="F172" s="1348"/>
      <c r="G172" s="1348"/>
      <c r="H172" s="1348"/>
      <c r="I172" s="1348"/>
      <c r="J172" s="1348"/>
      <c r="K172" s="1348"/>
      <c r="L172" s="1348"/>
    </row>
    <row r="173" spans="1:42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spans="1:42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</row>
  </sheetData>
  <sheetProtection password="CA14" sheet="1" objects="1" scenarios="1"/>
  <mergeCells count="671">
    <mergeCell ref="AR7:AS7"/>
    <mergeCell ref="AR3:AV6"/>
    <mergeCell ref="B165:D165"/>
    <mergeCell ref="E165:F165"/>
    <mergeCell ref="G165:I165"/>
    <mergeCell ref="J165:K165"/>
    <mergeCell ref="B125:D125"/>
    <mergeCell ref="E125:F125"/>
    <mergeCell ref="G125:I125"/>
    <mergeCell ref="J125:K125"/>
    <mergeCell ref="B156:D156"/>
    <mergeCell ref="E156:F156"/>
    <mergeCell ref="G156:I156"/>
    <mergeCell ref="J156:K156"/>
    <mergeCell ref="B134:D134"/>
    <mergeCell ref="E134:F134"/>
    <mergeCell ref="G134:I134"/>
    <mergeCell ref="J134:K134"/>
    <mergeCell ref="B129:D129"/>
    <mergeCell ref="E129:F129"/>
    <mergeCell ref="G129:I129"/>
    <mergeCell ref="J129:K129"/>
    <mergeCell ref="B161:D161"/>
    <mergeCell ref="E161:F161"/>
    <mergeCell ref="B33:D33"/>
    <mergeCell ref="E33:F33"/>
    <mergeCell ref="G33:I33"/>
    <mergeCell ref="J33:K33"/>
    <mergeCell ref="B86:D86"/>
    <mergeCell ref="E86:F86"/>
    <mergeCell ref="G86:I86"/>
    <mergeCell ref="J86:K86"/>
    <mergeCell ref="B88:D88"/>
    <mergeCell ref="E88:F88"/>
    <mergeCell ref="G88:I88"/>
    <mergeCell ref="J88:K88"/>
    <mergeCell ref="B77:D77"/>
    <mergeCell ref="E77:F77"/>
    <mergeCell ref="G77:I77"/>
    <mergeCell ref="J77:K77"/>
    <mergeCell ref="J80:K80"/>
    <mergeCell ref="G50:I50"/>
    <mergeCell ref="J50:K50"/>
    <mergeCell ref="B73:D73"/>
    <mergeCell ref="E73:F73"/>
    <mergeCell ref="G73:I73"/>
    <mergeCell ref="J73:K73"/>
    <mergeCell ref="B74:D74"/>
    <mergeCell ref="B30:D30"/>
    <mergeCell ref="E30:F30"/>
    <mergeCell ref="G30:I30"/>
    <mergeCell ref="J30:K30"/>
    <mergeCell ref="B31:D31"/>
    <mergeCell ref="E31:F31"/>
    <mergeCell ref="G31:I31"/>
    <mergeCell ref="J31:K31"/>
    <mergeCell ref="B32:D32"/>
    <mergeCell ref="E32:F32"/>
    <mergeCell ref="G32:I32"/>
    <mergeCell ref="J32:K32"/>
    <mergeCell ref="E74:F74"/>
    <mergeCell ref="G74:I74"/>
    <mergeCell ref="J74:K74"/>
    <mergeCell ref="J64:K64"/>
    <mergeCell ref="B65:D65"/>
    <mergeCell ref="E65:F65"/>
    <mergeCell ref="G65:I65"/>
    <mergeCell ref="J65:K65"/>
    <mergeCell ref="B61:D61"/>
    <mergeCell ref="E61:F61"/>
    <mergeCell ref="G61:I61"/>
    <mergeCell ref="J72:K72"/>
    <mergeCell ref="J68:K68"/>
    <mergeCell ref="J69:K69"/>
    <mergeCell ref="J70:K70"/>
    <mergeCell ref="B14:D14"/>
    <mergeCell ref="E14:F14"/>
    <mergeCell ref="G14:I14"/>
    <mergeCell ref="J14:K14"/>
    <mergeCell ref="B20:D20"/>
    <mergeCell ref="E20:F20"/>
    <mergeCell ref="G20:I20"/>
    <mergeCell ref="J20:K20"/>
    <mergeCell ref="B25:D25"/>
    <mergeCell ref="E25:F25"/>
    <mergeCell ref="G25:I25"/>
    <mergeCell ref="J25:K25"/>
    <mergeCell ref="E19:F19"/>
    <mergeCell ref="G22:I22"/>
    <mergeCell ref="B19:D19"/>
    <mergeCell ref="E23:F23"/>
    <mergeCell ref="E21:F21"/>
    <mergeCell ref="B22:D22"/>
    <mergeCell ref="B149:D149"/>
    <mergeCell ref="E149:F149"/>
    <mergeCell ref="G149:I149"/>
    <mergeCell ref="J149:K149"/>
    <mergeCell ref="B152:D152"/>
    <mergeCell ref="E152:F152"/>
    <mergeCell ref="G152:I152"/>
    <mergeCell ref="J152:K152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4:D114"/>
    <mergeCell ref="E114:F114"/>
    <mergeCell ref="G114:I114"/>
    <mergeCell ref="J114:K114"/>
    <mergeCell ref="B115:K115"/>
    <mergeCell ref="J116:K116"/>
    <mergeCell ref="E116:F116"/>
    <mergeCell ref="B126:D126"/>
    <mergeCell ref="E101:F101"/>
    <mergeCell ref="G101:I101"/>
    <mergeCell ref="J101:K101"/>
    <mergeCell ref="B103:D103"/>
    <mergeCell ref="E103:F103"/>
    <mergeCell ref="G103:I103"/>
    <mergeCell ref="J103:K103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10:D110"/>
    <mergeCell ref="E110:F110"/>
    <mergeCell ref="G110:I110"/>
    <mergeCell ref="J110:K110"/>
    <mergeCell ref="J107:K107"/>
    <mergeCell ref="J94:K94"/>
    <mergeCell ref="B100:D100"/>
    <mergeCell ref="E100:F100"/>
    <mergeCell ref="G100:I100"/>
    <mergeCell ref="J100:K100"/>
    <mergeCell ref="J81:K81"/>
    <mergeCell ref="J82:K82"/>
    <mergeCell ref="J83:K83"/>
    <mergeCell ref="J84:K84"/>
    <mergeCell ref="E85:F85"/>
    <mergeCell ref="G85:I85"/>
    <mergeCell ref="J85:K85"/>
    <mergeCell ref="B87:D87"/>
    <mergeCell ref="E87:F87"/>
    <mergeCell ref="G87:I87"/>
    <mergeCell ref="J87:K87"/>
    <mergeCell ref="G92:I92"/>
    <mergeCell ref="J92:K92"/>
    <mergeCell ref="J90:K90"/>
    <mergeCell ref="B82:D82"/>
    <mergeCell ref="E82:F82"/>
    <mergeCell ref="G82:I82"/>
    <mergeCell ref="B85:D85"/>
    <mergeCell ref="B89:D89"/>
    <mergeCell ref="J56:K56"/>
    <mergeCell ref="B57:D57"/>
    <mergeCell ref="B35:D35"/>
    <mergeCell ref="E35:F35"/>
    <mergeCell ref="G35:I35"/>
    <mergeCell ref="J35:K35"/>
    <mergeCell ref="B38:D38"/>
    <mergeCell ref="E38:F38"/>
    <mergeCell ref="G38:I38"/>
    <mergeCell ref="J38:K38"/>
    <mergeCell ref="B40:D40"/>
    <mergeCell ref="B48:D48"/>
    <mergeCell ref="B49:D49"/>
    <mergeCell ref="B50:D50"/>
    <mergeCell ref="B42:D42"/>
    <mergeCell ref="B53:D53"/>
    <mergeCell ref="J53:K53"/>
    <mergeCell ref="J55:K55"/>
    <mergeCell ref="B46:D46"/>
    <mergeCell ref="E46:F46"/>
    <mergeCell ref="G46:I46"/>
    <mergeCell ref="J46:K46"/>
    <mergeCell ref="J39:K39"/>
    <mergeCell ref="E53:F53"/>
    <mergeCell ref="AP5:AQ5"/>
    <mergeCell ref="J10:K10"/>
    <mergeCell ref="J9:K9"/>
    <mergeCell ref="J24:K24"/>
    <mergeCell ref="J11:K11"/>
    <mergeCell ref="J13:K13"/>
    <mergeCell ref="J15:K15"/>
    <mergeCell ref="J16:K16"/>
    <mergeCell ref="J12:K12"/>
    <mergeCell ref="AP6:AQ6"/>
    <mergeCell ref="AP7:AQ7"/>
    <mergeCell ref="J27:K27"/>
    <mergeCell ref="G39:I39"/>
    <mergeCell ref="B92:D92"/>
    <mergeCell ref="E92:F92"/>
    <mergeCell ref="G26:I26"/>
    <mergeCell ref="G29:I29"/>
    <mergeCell ref="G34:I34"/>
    <mergeCell ref="G21:I21"/>
    <mergeCell ref="E57:F57"/>
    <mergeCell ref="G57:I57"/>
    <mergeCell ref="J57:K57"/>
    <mergeCell ref="E40:F40"/>
    <mergeCell ref="G40:I40"/>
    <mergeCell ref="J40:K40"/>
    <mergeCell ref="E48:F48"/>
    <mergeCell ref="G48:I48"/>
    <mergeCell ref="J48:K48"/>
    <mergeCell ref="E49:F49"/>
    <mergeCell ref="G49:I49"/>
    <mergeCell ref="J49:K49"/>
    <mergeCell ref="E50:F50"/>
    <mergeCell ref="E42:F42"/>
    <mergeCell ref="G42:I42"/>
    <mergeCell ref="J42:K42"/>
    <mergeCell ref="G53:I53"/>
    <mergeCell ref="J67:K67"/>
    <mergeCell ref="J62:K62"/>
    <mergeCell ref="G116:I116"/>
    <mergeCell ref="B116:D116"/>
    <mergeCell ref="J71:K71"/>
    <mergeCell ref="B63:D63"/>
    <mergeCell ref="E63:F63"/>
    <mergeCell ref="G63:I63"/>
    <mergeCell ref="J63:K63"/>
    <mergeCell ref="B66:D66"/>
    <mergeCell ref="E66:F66"/>
    <mergeCell ref="G66:I66"/>
    <mergeCell ref="J66:K66"/>
    <mergeCell ref="B67:D67"/>
    <mergeCell ref="E67:F67"/>
    <mergeCell ref="J89:K89"/>
    <mergeCell ref="B91:D91"/>
    <mergeCell ref="E91:F91"/>
    <mergeCell ref="G91:I91"/>
    <mergeCell ref="J91:K91"/>
    <mergeCell ref="B90:D90"/>
    <mergeCell ref="E90:F90"/>
    <mergeCell ref="G90:I90"/>
    <mergeCell ref="J59:K59"/>
    <mergeCell ref="B60:D60"/>
    <mergeCell ref="E60:F60"/>
    <mergeCell ref="G60:I60"/>
    <mergeCell ref="J60:K60"/>
    <mergeCell ref="B62:D62"/>
    <mergeCell ref="E62:F62"/>
    <mergeCell ref="G62:I62"/>
    <mergeCell ref="B64:D64"/>
    <mergeCell ref="E64:F64"/>
    <mergeCell ref="G64:I64"/>
    <mergeCell ref="J61:K61"/>
    <mergeCell ref="J127:K127"/>
    <mergeCell ref="B117:D117"/>
    <mergeCell ref="E117:F117"/>
    <mergeCell ref="G117:I117"/>
    <mergeCell ref="J117:K117"/>
    <mergeCell ref="B119:D119"/>
    <mergeCell ref="E119:F119"/>
    <mergeCell ref="G119:I119"/>
    <mergeCell ref="J119:K119"/>
    <mergeCell ref="B121:D121"/>
    <mergeCell ref="E121:F121"/>
    <mergeCell ref="B120:D120"/>
    <mergeCell ref="B118:D118"/>
    <mergeCell ref="E118:F118"/>
    <mergeCell ref="E122:F122"/>
    <mergeCell ref="G122:I122"/>
    <mergeCell ref="B124:D124"/>
    <mergeCell ref="E124:F124"/>
    <mergeCell ref="G124:I124"/>
    <mergeCell ref="J124:K124"/>
    <mergeCell ref="B55:D55"/>
    <mergeCell ref="E55:F55"/>
    <mergeCell ref="G55:I55"/>
    <mergeCell ref="B59:D59"/>
    <mergeCell ref="E59:F59"/>
    <mergeCell ref="G59:I59"/>
    <mergeCell ref="B72:D72"/>
    <mergeCell ref="E72:F72"/>
    <mergeCell ref="G72:I72"/>
    <mergeCell ref="G71:I71"/>
    <mergeCell ref="B70:D70"/>
    <mergeCell ref="E70:F70"/>
    <mergeCell ref="G70:I70"/>
    <mergeCell ref="G67:I67"/>
    <mergeCell ref="B56:D56"/>
    <mergeCell ref="E56:F56"/>
    <mergeCell ref="G56:I56"/>
    <mergeCell ref="B68:D68"/>
    <mergeCell ref="E68:F68"/>
    <mergeCell ref="G68:I68"/>
    <mergeCell ref="B69:D69"/>
    <mergeCell ref="E69:F69"/>
    <mergeCell ref="G69:I69"/>
    <mergeCell ref="B150:D150"/>
    <mergeCell ref="E150:F150"/>
    <mergeCell ref="G150:I150"/>
    <mergeCell ref="J150:K150"/>
    <mergeCell ref="J122:K122"/>
    <mergeCell ref="B123:D123"/>
    <mergeCell ref="E123:F123"/>
    <mergeCell ref="G123:I123"/>
    <mergeCell ref="J123:K123"/>
    <mergeCell ref="B133:D133"/>
    <mergeCell ref="E133:F133"/>
    <mergeCell ref="G133:I133"/>
    <mergeCell ref="J133:K133"/>
    <mergeCell ref="B131:D131"/>
    <mergeCell ref="E131:F131"/>
    <mergeCell ref="G131:I131"/>
    <mergeCell ref="B137:D137"/>
    <mergeCell ref="E137:F137"/>
    <mergeCell ref="G137:I137"/>
    <mergeCell ref="E138:F138"/>
    <mergeCell ref="B132:D132"/>
    <mergeCell ref="B130:K130"/>
    <mergeCell ref="B135:K135"/>
    <mergeCell ref="E132:F132"/>
    <mergeCell ref="B9:D9"/>
    <mergeCell ref="E9:F9"/>
    <mergeCell ref="B10:D10"/>
    <mergeCell ref="B51:D51"/>
    <mergeCell ref="E51:F51"/>
    <mergeCell ref="G51:I51"/>
    <mergeCell ref="E10:F10"/>
    <mergeCell ref="G10:I10"/>
    <mergeCell ref="G18:I18"/>
    <mergeCell ref="G17:I17"/>
    <mergeCell ref="G9:I9"/>
    <mergeCell ref="G12:I12"/>
    <mergeCell ref="B23:D23"/>
    <mergeCell ref="E22:F22"/>
    <mergeCell ref="B17:D17"/>
    <mergeCell ref="E17:F17"/>
    <mergeCell ref="G16:I16"/>
    <mergeCell ref="E16:F16"/>
    <mergeCell ref="B12:D12"/>
    <mergeCell ref="E12:F12"/>
    <mergeCell ref="B39:D39"/>
    <mergeCell ref="B21:D21"/>
    <mergeCell ref="E28:F28"/>
    <mergeCell ref="E27:F27"/>
    <mergeCell ref="J29:K29"/>
    <mergeCell ref="J17:K17"/>
    <mergeCell ref="J26:K26"/>
    <mergeCell ref="G23:I23"/>
    <mergeCell ref="J23:K23"/>
    <mergeCell ref="G19:I19"/>
    <mergeCell ref="J21:K21"/>
    <mergeCell ref="J22:K22"/>
    <mergeCell ref="J137:K137"/>
    <mergeCell ref="J131:K131"/>
    <mergeCell ref="G126:I126"/>
    <mergeCell ref="G136:I136"/>
    <mergeCell ref="J136:K136"/>
    <mergeCell ref="G118:I118"/>
    <mergeCell ref="J118:K118"/>
    <mergeCell ref="G132:I132"/>
    <mergeCell ref="J132:K132"/>
    <mergeCell ref="G120:I120"/>
    <mergeCell ref="J120:K120"/>
    <mergeCell ref="G128:I128"/>
    <mergeCell ref="J128:K128"/>
    <mergeCell ref="G121:I121"/>
    <mergeCell ref="J121:K121"/>
    <mergeCell ref="J126:K126"/>
    <mergeCell ref="B1:K1"/>
    <mergeCell ref="B6:D6"/>
    <mergeCell ref="E6:F6"/>
    <mergeCell ref="B8:D8"/>
    <mergeCell ref="E8:F8"/>
    <mergeCell ref="B2:B3"/>
    <mergeCell ref="D2:D3"/>
    <mergeCell ref="E2:E3"/>
    <mergeCell ref="F2:F3"/>
    <mergeCell ref="G2:J2"/>
    <mergeCell ref="G8:I8"/>
    <mergeCell ref="G6:I6"/>
    <mergeCell ref="B4:B5"/>
    <mergeCell ref="C2:C3"/>
    <mergeCell ref="J6:K6"/>
    <mergeCell ref="J8:K8"/>
    <mergeCell ref="J7:K7"/>
    <mergeCell ref="K2:K3"/>
    <mergeCell ref="B7:D7"/>
    <mergeCell ref="E7:F7"/>
    <mergeCell ref="G7:I7"/>
    <mergeCell ref="K4:K5"/>
    <mergeCell ref="A172:L172"/>
    <mergeCell ref="L1:L171"/>
    <mergeCell ref="A1:A171"/>
    <mergeCell ref="B36:D36"/>
    <mergeCell ref="E36:F36"/>
    <mergeCell ref="B37:D37"/>
    <mergeCell ref="E37:F37"/>
    <mergeCell ref="B29:D29"/>
    <mergeCell ref="E29:F29"/>
    <mergeCell ref="B34:D34"/>
    <mergeCell ref="E34:F34"/>
    <mergeCell ref="B24:D24"/>
    <mergeCell ref="E24:F24"/>
    <mergeCell ref="B26:D26"/>
    <mergeCell ref="E26:F26"/>
    <mergeCell ref="G24:I24"/>
    <mergeCell ref="B16:D16"/>
    <mergeCell ref="J18:K18"/>
    <mergeCell ref="J19:K19"/>
    <mergeCell ref="B18:D18"/>
    <mergeCell ref="E18:F18"/>
    <mergeCell ref="B138:D138"/>
    <mergeCell ref="G138:I138"/>
    <mergeCell ref="G81:I81"/>
    <mergeCell ref="B80:D80"/>
    <mergeCell ref="E80:F80"/>
    <mergeCell ref="G80:I80"/>
    <mergeCell ref="B83:D83"/>
    <mergeCell ref="E83:F83"/>
    <mergeCell ref="G83:I83"/>
    <mergeCell ref="B84:D84"/>
    <mergeCell ref="E84:F84"/>
    <mergeCell ref="G84:I84"/>
    <mergeCell ref="E89:F89"/>
    <mergeCell ref="G89:I89"/>
    <mergeCell ref="B136:D136"/>
    <mergeCell ref="E136:F136"/>
    <mergeCell ref="B104:D104"/>
    <mergeCell ref="E104:F104"/>
    <mergeCell ref="G104:I104"/>
    <mergeCell ref="G107:I107"/>
    <mergeCell ref="B105:D105"/>
    <mergeCell ref="E105:F105"/>
    <mergeCell ref="G105:I105"/>
    <mergeCell ref="B99:D99"/>
    <mergeCell ref="E99:F99"/>
    <mergeCell ref="G99:I99"/>
    <mergeCell ref="E126:F126"/>
    <mergeCell ref="E120:F120"/>
    <mergeCell ref="B128:D128"/>
    <mergeCell ref="E128:F128"/>
    <mergeCell ref="B122:D122"/>
    <mergeCell ref="E107:F107"/>
    <mergeCell ref="B127:D127"/>
    <mergeCell ref="E127:F127"/>
    <mergeCell ref="G127:I127"/>
    <mergeCell ref="B101:D101"/>
    <mergeCell ref="J138:K138"/>
    <mergeCell ref="J34:K34"/>
    <mergeCell ref="B52:D52"/>
    <mergeCell ref="E52:F52"/>
    <mergeCell ref="G52:I52"/>
    <mergeCell ref="J52:K52"/>
    <mergeCell ref="E41:F41"/>
    <mergeCell ref="B41:D41"/>
    <mergeCell ref="G41:I41"/>
    <mergeCell ref="J41:K41"/>
    <mergeCell ref="B43:D43"/>
    <mergeCell ref="E43:F43"/>
    <mergeCell ref="G43:I43"/>
    <mergeCell ref="J43:K43"/>
    <mergeCell ref="B45:D45"/>
    <mergeCell ref="E45:F45"/>
    <mergeCell ref="J36:K36"/>
    <mergeCell ref="J37:K37"/>
    <mergeCell ref="E39:F39"/>
    <mergeCell ref="G36:I36"/>
    <mergeCell ref="G37:I37"/>
    <mergeCell ref="B44:D44"/>
    <mergeCell ref="B81:D81"/>
    <mergeCell ref="E81:F81"/>
    <mergeCell ref="B139:D139"/>
    <mergeCell ref="E139:F139"/>
    <mergeCell ref="G139:I139"/>
    <mergeCell ref="J139:K139"/>
    <mergeCell ref="E143:F143"/>
    <mergeCell ref="B143:D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42:D142"/>
    <mergeCell ref="E142:F142"/>
    <mergeCell ref="G142:I142"/>
    <mergeCell ref="J142:K142"/>
    <mergeCell ref="B148:D148"/>
    <mergeCell ref="E148:F148"/>
    <mergeCell ref="G148:I148"/>
    <mergeCell ref="J148:K148"/>
    <mergeCell ref="B144:D144"/>
    <mergeCell ref="E144:F144"/>
    <mergeCell ref="G144:I144"/>
    <mergeCell ref="J144:K144"/>
    <mergeCell ref="B145:D145"/>
    <mergeCell ref="E145:F145"/>
    <mergeCell ref="G145:I145"/>
    <mergeCell ref="J145:K145"/>
    <mergeCell ref="B146:D146"/>
    <mergeCell ref="E146:F146"/>
    <mergeCell ref="G146:I146"/>
    <mergeCell ref="J146:K146"/>
    <mergeCell ref="B147:D147"/>
    <mergeCell ref="E147:F147"/>
    <mergeCell ref="G147:I147"/>
    <mergeCell ref="J147:K147"/>
    <mergeCell ref="B151:D151"/>
    <mergeCell ref="E151:F151"/>
    <mergeCell ref="G151:I151"/>
    <mergeCell ref="J151:K151"/>
    <mergeCell ref="B153:D153"/>
    <mergeCell ref="E153:F153"/>
    <mergeCell ref="G153:I153"/>
    <mergeCell ref="J153:K153"/>
    <mergeCell ref="B155:D155"/>
    <mergeCell ref="E155:F155"/>
    <mergeCell ref="G155:I155"/>
    <mergeCell ref="J155:K155"/>
    <mergeCell ref="B154:D154"/>
    <mergeCell ref="E154:F154"/>
    <mergeCell ref="G154:I154"/>
    <mergeCell ref="J154:K154"/>
    <mergeCell ref="G159:I159"/>
    <mergeCell ref="J159:K159"/>
    <mergeCell ref="B163:D163"/>
    <mergeCell ref="E163:F163"/>
    <mergeCell ref="G163:I163"/>
    <mergeCell ref="J163:K163"/>
    <mergeCell ref="E157:F157"/>
    <mergeCell ref="B157:D157"/>
    <mergeCell ref="G157:I157"/>
    <mergeCell ref="J157:K157"/>
    <mergeCell ref="J161:K161"/>
    <mergeCell ref="G161:I161"/>
    <mergeCell ref="B107:D107"/>
    <mergeCell ref="B168:D168"/>
    <mergeCell ref="E168:F168"/>
    <mergeCell ref="G168:I168"/>
    <mergeCell ref="J168:K168"/>
    <mergeCell ref="B170:D170"/>
    <mergeCell ref="G170:I170"/>
    <mergeCell ref="J170:K170"/>
    <mergeCell ref="E158:F158"/>
    <mergeCell ref="B158:D158"/>
    <mergeCell ref="G158:I158"/>
    <mergeCell ref="J158:K158"/>
    <mergeCell ref="E160:F160"/>
    <mergeCell ref="B160:D160"/>
    <mergeCell ref="G160:I160"/>
    <mergeCell ref="J160:K160"/>
    <mergeCell ref="B169:D169"/>
    <mergeCell ref="E169:F169"/>
    <mergeCell ref="G169:I169"/>
    <mergeCell ref="J169:K169"/>
    <mergeCell ref="B166:D166"/>
    <mergeCell ref="E166:F166"/>
    <mergeCell ref="B159:D159"/>
    <mergeCell ref="E159:F159"/>
    <mergeCell ref="B171:D171"/>
    <mergeCell ref="E171:F171"/>
    <mergeCell ref="G171:I171"/>
    <mergeCell ref="J171:K171"/>
    <mergeCell ref="B162:D162"/>
    <mergeCell ref="E162:F162"/>
    <mergeCell ref="G162:I162"/>
    <mergeCell ref="J162:K162"/>
    <mergeCell ref="B164:D164"/>
    <mergeCell ref="E164:F164"/>
    <mergeCell ref="G164:I164"/>
    <mergeCell ref="J164:K164"/>
    <mergeCell ref="E170:F170"/>
    <mergeCell ref="B167:D167"/>
    <mergeCell ref="E167:F167"/>
    <mergeCell ref="G167:I167"/>
    <mergeCell ref="J167:K167"/>
    <mergeCell ref="G166:I166"/>
    <mergeCell ref="J166:K166"/>
    <mergeCell ref="J105:K105"/>
    <mergeCell ref="B106:D106"/>
    <mergeCell ref="E106:F106"/>
    <mergeCell ref="G106:I106"/>
    <mergeCell ref="J106:K106"/>
    <mergeCell ref="B102:D102"/>
    <mergeCell ref="E102:F102"/>
    <mergeCell ref="G102:I102"/>
    <mergeCell ref="J102:K102"/>
    <mergeCell ref="J104:K104"/>
    <mergeCell ref="B79:D79"/>
    <mergeCell ref="E79:F79"/>
    <mergeCell ref="G79:I79"/>
    <mergeCell ref="J79:K79"/>
    <mergeCell ref="B76:D76"/>
    <mergeCell ref="E76:F76"/>
    <mergeCell ref="G76:I76"/>
    <mergeCell ref="J76:K76"/>
    <mergeCell ref="E44:F44"/>
    <mergeCell ref="G44:I44"/>
    <mergeCell ref="J44:K44"/>
    <mergeCell ref="J51:K51"/>
    <mergeCell ref="B54:D54"/>
    <mergeCell ref="E54:F54"/>
    <mergeCell ref="G54:I54"/>
    <mergeCell ref="J54:K54"/>
    <mergeCell ref="G45:I45"/>
    <mergeCell ref="J45:K45"/>
    <mergeCell ref="B71:D71"/>
    <mergeCell ref="E71:F71"/>
    <mergeCell ref="B58:D58"/>
    <mergeCell ref="E58:F58"/>
    <mergeCell ref="G58:I58"/>
    <mergeCell ref="J58:K58"/>
    <mergeCell ref="B47:D47"/>
    <mergeCell ref="E47:F47"/>
    <mergeCell ref="G47:I47"/>
    <mergeCell ref="J47:K47"/>
    <mergeCell ref="B75:K75"/>
    <mergeCell ref="AP4:AQ4"/>
    <mergeCell ref="B78:D78"/>
    <mergeCell ref="E78:F78"/>
    <mergeCell ref="G78:I78"/>
    <mergeCell ref="J78:K78"/>
    <mergeCell ref="B11:D11"/>
    <mergeCell ref="E11:F11"/>
    <mergeCell ref="G11:I11"/>
    <mergeCell ref="B27:D27"/>
    <mergeCell ref="B28:D28"/>
    <mergeCell ref="B15:D15"/>
    <mergeCell ref="E15:F15"/>
    <mergeCell ref="B13:D13"/>
    <mergeCell ref="E13:F13"/>
    <mergeCell ref="G13:I13"/>
    <mergeCell ref="G15:I15"/>
    <mergeCell ref="J28:K28"/>
    <mergeCell ref="G27:I27"/>
    <mergeCell ref="G28:I28"/>
    <mergeCell ref="J99:K99"/>
    <mergeCell ref="J96:K96"/>
    <mergeCell ref="B98:D98"/>
    <mergeCell ref="E98:F98"/>
    <mergeCell ref="G98:I98"/>
    <mergeCell ref="J98:K98"/>
    <mergeCell ref="J93:K93"/>
    <mergeCell ref="E97:F97"/>
    <mergeCell ref="J97:K97"/>
    <mergeCell ref="B97:D97"/>
    <mergeCell ref="G97:I97"/>
    <mergeCell ref="J95:K95"/>
    <mergeCell ref="B96:D96"/>
    <mergeCell ref="E96:F96"/>
    <mergeCell ref="G96:I96"/>
    <mergeCell ref="B95:D95"/>
    <mergeCell ref="E95:F95"/>
    <mergeCell ref="G95:I95"/>
    <mergeCell ref="B93:D93"/>
    <mergeCell ref="E93:F93"/>
    <mergeCell ref="G93:I93"/>
    <mergeCell ref="B94:D94"/>
    <mergeCell ref="E94:F94"/>
    <mergeCell ref="G94:I94"/>
  </mergeCells>
  <phoneticPr fontId="1" type="noConversion"/>
  <dataValidations count="2">
    <dataValidation type="list" allowBlank="1" showInputMessage="1" showErrorMessage="1" sqref="G3:J3">
      <formula1>과탐</formula1>
    </dataValidation>
    <dataValidation type="list" allowBlank="1" showInputMessage="1" showErrorMessage="1" sqref="K4:K5">
      <formula1>수리유형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24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AA9" sqref="AA9"/>
    </sheetView>
  </sheetViews>
  <sheetFormatPr defaultRowHeight="13.5"/>
  <cols>
    <col min="1" max="1" width="11.42578125" style="914" customWidth="1"/>
    <col min="2" max="2" width="18.28515625" style="157" customWidth="1"/>
    <col min="3" max="3" width="9.42578125" style="1" customWidth="1"/>
    <col min="4" max="6" width="9.85546875" style="5" bestFit="1" customWidth="1"/>
    <col min="7" max="7" width="11" style="5" bestFit="1" customWidth="1"/>
    <col min="8" max="8" width="9.140625" style="4"/>
    <col min="9" max="11" width="9.85546875" style="145" bestFit="1" customWidth="1"/>
    <col min="12" max="12" width="9.140625" style="145"/>
    <col min="13" max="13" width="9.140625" style="183"/>
    <col min="14" max="15" width="9.140625" style="3"/>
    <col min="16" max="17" width="9.140625" style="13"/>
    <col min="18" max="18" width="10" style="13" customWidth="1"/>
    <col min="19" max="19" width="9.140625" style="4"/>
    <col min="20" max="22" width="6.85546875" style="5" customWidth="1"/>
    <col min="23" max="23" width="9.140625" style="18"/>
    <col min="24" max="28" width="3.7109375" style="1" customWidth="1"/>
    <col min="29" max="29" width="9.140625" style="4"/>
    <col min="30" max="33" width="9.140625" style="1147"/>
    <col min="34" max="34" width="9.140625" style="4"/>
    <col min="35" max="35" width="9.140625" style="14"/>
    <col min="36" max="37" width="9.140625" style="689"/>
    <col min="38" max="47" width="9.140625" style="742"/>
    <col min="48" max="48" width="9.140625" style="743"/>
    <col min="49" max="16384" width="9.140625" style="1"/>
  </cols>
  <sheetData>
    <row r="1" spans="1:48" s="763" customFormat="1" ht="26.25" customHeight="1" thickBot="1">
      <c r="A1" s="871"/>
      <c r="B1" s="744" t="s">
        <v>27</v>
      </c>
      <c r="C1" s="745" t="s">
        <v>28</v>
      </c>
      <c r="D1" s="746" t="s">
        <v>29</v>
      </c>
      <c r="E1" s="746" t="s">
        <v>30</v>
      </c>
      <c r="F1" s="746" t="s">
        <v>31</v>
      </c>
      <c r="G1" s="747" t="s">
        <v>32</v>
      </c>
      <c r="H1" s="744" t="s">
        <v>33</v>
      </c>
      <c r="I1" s="748" t="s">
        <v>29</v>
      </c>
      <c r="J1" s="749" t="s">
        <v>30</v>
      </c>
      <c r="K1" s="749" t="s">
        <v>31</v>
      </c>
      <c r="L1" s="750" t="s">
        <v>32</v>
      </c>
      <c r="M1" s="751" t="s">
        <v>34</v>
      </c>
      <c r="N1" s="748" t="s">
        <v>35</v>
      </c>
      <c r="O1" s="749" t="s">
        <v>36</v>
      </c>
      <c r="P1" s="752" t="s">
        <v>37</v>
      </c>
      <c r="Q1" s="752" t="s">
        <v>38</v>
      </c>
      <c r="R1" s="753" t="s">
        <v>39</v>
      </c>
      <c r="S1" s="744" t="s">
        <v>40</v>
      </c>
      <c r="T1" s="754" t="s">
        <v>29</v>
      </c>
      <c r="U1" s="746" t="s">
        <v>30</v>
      </c>
      <c r="V1" s="747" t="s">
        <v>31</v>
      </c>
      <c r="W1" s="755" t="s">
        <v>41</v>
      </c>
      <c r="X1" s="745" t="s">
        <v>29</v>
      </c>
      <c r="Y1" s="756" t="s">
        <v>30</v>
      </c>
      <c r="Z1" s="756" t="s">
        <v>31</v>
      </c>
      <c r="AA1" s="756" t="s">
        <v>42</v>
      </c>
      <c r="AB1" s="757" t="s">
        <v>331</v>
      </c>
      <c r="AC1" s="758" t="s">
        <v>43</v>
      </c>
      <c r="AD1" s="1039" t="s">
        <v>29</v>
      </c>
      <c r="AE1" s="1040" t="s">
        <v>30</v>
      </c>
      <c r="AF1" s="1040" t="s">
        <v>31</v>
      </c>
      <c r="AG1" s="1041" t="s">
        <v>42</v>
      </c>
      <c r="AH1" s="1415" t="s">
        <v>44</v>
      </c>
      <c r="AI1" s="1416"/>
      <c r="AJ1" s="759"/>
      <c r="AK1" s="760" t="s">
        <v>224</v>
      </c>
      <c r="AL1" s="761" t="s">
        <v>253</v>
      </c>
      <c r="AM1" s="761" t="s">
        <v>254</v>
      </c>
      <c r="AN1" s="761" t="s">
        <v>225</v>
      </c>
      <c r="AO1" s="761" t="s">
        <v>226</v>
      </c>
      <c r="AP1" s="761" t="s">
        <v>227</v>
      </c>
      <c r="AQ1" s="761" t="s">
        <v>228</v>
      </c>
      <c r="AR1" s="761" t="s">
        <v>229</v>
      </c>
      <c r="AS1" s="761" t="s">
        <v>230</v>
      </c>
      <c r="AT1" s="761" t="s">
        <v>231</v>
      </c>
      <c r="AU1" s="761" t="s">
        <v>232</v>
      </c>
      <c r="AV1" s="762" t="s">
        <v>233</v>
      </c>
    </row>
    <row r="2" spans="1:48" s="609" customFormat="1" ht="14.25" customHeight="1" thickBot="1">
      <c r="A2" s="872" t="s">
        <v>62</v>
      </c>
      <c r="B2" s="596" t="s">
        <v>46</v>
      </c>
      <c r="C2" s="597">
        <v>850</v>
      </c>
      <c r="D2" s="598">
        <f>성적입력!D$4</f>
        <v>120</v>
      </c>
      <c r="E2" s="598">
        <f>성적입력!E$4*1.25</f>
        <v>137.5</v>
      </c>
      <c r="F2" s="598">
        <f>성적입력!F$4</f>
        <v>121</v>
      </c>
      <c r="G2" s="598">
        <f>$M2</f>
        <v>111.43</v>
      </c>
      <c r="H2" s="599"/>
      <c r="I2" s="600"/>
      <c r="J2" s="601"/>
      <c r="K2" s="601"/>
      <c r="L2" s="602"/>
      <c r="M2" s="603">
        <f>ROUNDDOWN(SUM(N2:Q2)/2+R2/2,2)</f>
        <v>111.43</v>
      </c>
      <c r="N2" s="600">
        <f>IF(성적입력!G$3=0,0,HLOOKUP(성적입력!G$3,'서울대-한양대보정별첨'!$B$2:$I$103,102-성적입력!G$4,FALSE))</f>
        <v>63.7</v>
      </c>
      <c r="O2" s="601">
        <f>IF(성적입력!H$3=0,0,HLOOKUP(성적입력!H$3,'서울대-한양대보정별첨'!$B$2:$I$103,102-성적입력!H$4,FALSE))</f>
        <v>61.93</v>
      </c>
      <c r="P2" s="601">
        <f>IF(성적입력!I$3=0,0,HLOOKUP(성적입력!I$3,'서울대-한양대보정별첨'!$B$2:$I$103,102-성적입력!I$4,FALSE))</f>
        <v>61.93</v>
      </c>
      <c r="Q2" s="601">
        <f>IF(성적입력!J$3=0,0,HLOOKUP(성적입력!J$3,'서울대-한양대보정별첨'!$B$2:$I$103,102-성적입력!J$4,FALSE))</f>
        <v>35.31</v>
      </c>
      <c r="R2" s="602"/>
      <c r="S2" s="599"/>
      <c r="T2" s="604"/>
      <c r="U2" s="598"/>
      <c r="V2" s="605"/>
      <c r="W2" s="606"/>
      <c r="X2" s="597"/>
      <c r="Y2" s="607"/>
      <c r="Z2" s="607"/>
      <c r="AA2" s="607"/>
      <c r="AB2" s="608"/>
      <c r="AC2" s="599"/>
      <c r="AD2" s="1042"/>
      <c r="AE2" s="1043"/>
      <c r="AF2" s="1043"/>
      <c r="AG2" s="1044"/>
      <c r="AH2" s="599"/>
      <c r="AI2" s="652"/>
      <c r="AJ2" s="671" t="s">
        <v>222</v>
      </c>
      <c r="AK2" s="690">
        <v>140</v>
      </c>
      <c r="AL2" s="667">
        <v>153</v>
      </c>
      <c r="AM2" s="667">
        <v>147</v>
      </c>
      <c r="AN2" s="667">
        <v>142</v>
      </c>
      <c r="AO2" s="668">
        <v>73</v>
      </c>
      <c r="AP2" s="668">
        <v>69</v>
      </c>
      <c r="AQ2" s="667">
        <v>71</v>
      </c>
      <c r="AR2" s="667">
        <v>72</v>
      </c>
      <c r="AS2" s="667">
        <v>74</v>
      </c>
      <c r="AT2" s="667">
        <v>75</v>
      </c>
      <c r="AU2" s="667">
        <v>71</v>
      </c>
      <c r="AV2" s="691">
        <v>74</v>
      </c>
    </row>
    <row r="3" spans="1:48" s="455" customFormat="1" ht="14.25" thickBot="1">
      <c r="A3" s="873" t="s">
        <v>45</v>
      </c>
      <c r="B3" s="204" t="s">
        <v>46</v>
      </c>
      <c r="C3" s="454">
        <v>500</v>
      </c>
      <c r="D3" s="206">
        <f>T3*I3</f>
        <v>60</v>
      </c>
      <c r="E3" s="206">
        <f>U3*J3</f>
        <v>82.5</v>
      </c>
      <c r="F3" s="206">
        <f>V3*K3</f>
        <v>60.5</v>
      </c>
      <c r="G3" s="207">
        <f>M3*L3</f>
        <v>94.237499999999997</v>
      </c>
      <c r="H3" s="208"/>
      <c r="I3" s="209">
        <f>AD3*$C3</f>
        <v>100</v>
      </c>
      <c r="J3" s="210">
        <f>AE3*$C3</f>
        <v>150</v>
      </c>
      <c r="K3" s="210">
        <f>AF3*$C3</f>
        <v>100</v>
      </c>
      <c r="L3" s="211">
        <f>AG3*$C3</f>
        <v>150</v>
      </c>
      <c r="M3" s="594">
        <f>(LARGE(N3:R3,1)+LARGE(N3:R3,2))/2</f>
        <v>0.62824999999999998</v>
      </c>
      <c r="N3" s="209">
        <f>VLOOKUP(성적입력!G$5,보정점수표!$A$3:$M$103,2,FALSE)/$AA3</f>
        <v>0.6371</v>
      </c>
      <c r="O3" s="210">
        <f>VLOOKUP(성적입력!H$5,보정점수표!$A$3:$M$103,2,FALSE)/$AA3</f>
        <v>0.61939999999999995</v>
      </c>
      <c r="P3" s="210">
        <f>VLOOKUP(성적입력!I$5,보정점수표!$A$3:$M$103,2,FALSE)/$AA3</f>
        <v>0.61939999999999995</v>
      </c>
      <c r="Q3" s="210">
        <f>VLOOKUP(성적입력!J$5,보정점수표!$A$3:$M$103,2,FALSE)/$AA3</f>
        <v>0.35310000000000002</v>
      </c>
      <c r="R3" s="213"/>
      <c r="S3" s="208"/>
      <c r="T3" s="214">
        <f>성적입력!D$4/X3</f>
        <v>0.6</v>
      </c>
      <c r="U3" s="214">
        <f>성적입력!E$4/Y3</f>
        <v>0.55000000000000004</v>
      </c>
      <c r="V3" s="231">
        <f>성적입력!F$4/Z3</f>
        <v>0.60499999999999998</v>
      </c>
      <c r="W3" s="215"/>
      <c r="X3" s="454">
        <v>200</v>
      </c>
      <c r="Y3" s="456">
        <v>200</v>
      </c>
      <c r="Z3" s="456">
        <v>200</v>
      </c>
      <c r="AA3" s="456">
        <v>100</v>
      </c>
      <c r="AB3" s="453"/>
      <c r="AC3" s="208"/>
      <c r="AD3" s="972">
        <v>0.2</v>
      </c>
      <c r="AE3" s="217">
        <v>0.3</v>
      </c>
      <c r="AF3" s="217">
        <v>0.2</v>
      </c>
      <c r="AG3" s="218">
        <v>0.3</v>
      </c>
      <c r="AH3" s="208"/>
      <c r="AJ3" s="672" t="s">
        <v>223</v>
      </c>
      <c r="AK3" s="692"/>
      <c r="AL3" s="669"/>
      <c r="AM3" s="669"/>
      <c r="AN3" s="669"/>
      <c r="AO3" s="670">
        <v>28</v>
      </c>
      <c r="AP3" s="670">
        <v>27</v>
      </c>
      <c r="AQ3" s="669">
        <v>26</v>
      </c>
      <c r="AR3" s="669">
        <v>26</v>
      </c>
      <c r="AS3" s="669">
        <v>34</v>
      </c>
      <c r="AT3" s="669">
        <v>30</v>
      </c>
      <c r="AU3" s="669">
        <v>32</v>
      </c>
      <c r="AV3" s="693">
        <v>33</v>
      </c>
    </row>
    <row r="4" spans="1:48" s="248" customFormat="1" ht="14.25" thickBot="1">
      <c r="A4" s="874" t="s">
        <v>47</v>
      </c>
      <c r="B4" s="234" t="s">
        <v>46</v>
      </c>
      <c r="C4" s="235">
        <v>500</v>
      </c>
      <c r="D4" s="239">
        <f>(성적입력!D$4/$H4)*I4</f>
        <v>118.2568933914106</v>
      </c>
      <c r="E4" s="239">
        <f>(성적입력!E$4/$H4)*J4</f>
        <v>108.40215227545971</v>
      </c>
      <c r="F4" s="239">
        <f>(성적입력!F$4/$H4)*K4</f>
        <v>119.24236750300568</v>
      </c>
      <c r="G4" s="240">
        <f>(M$4/$H4)*L4</f>
        <v>61.902556319845466</v>
      </c>
      <c r="H4" s="241">
        <f>(X4*AD4+Y4*AE4+Z4*AF4+AA4*AG4*2)</f>
        <v>144.96285714285716</v>
      </c>
      <c r="I4" s="238">
        <f>AD4*$C4</f>
        <v>142.85714285714286</v>
      </c>
      <c r="J4" s="239">
        <f t="shared" ref="J4:L4" si="0">AE4*$C4</f>
        <v>142.85714285714286</v>
      </c>
      <c r="K4" s="239">
        <f t="shared" si="0"/>
        <v>142.85714285714286</v>
      </c>
      <c r="L4" s="240">
        <f t="shared" si="0"/>
        <v>71.428571428571431</v>
      </c>
      <c r="M4" s="595">
        <f>ROUNDDOWN((LARGE(N4:R4,1)+LARGE(N4:R4,2)),2)</f>
        <v>125.63</v>
      </c>
      <c r="N4" s="238">
        <f>VLOOKUP(성적입력!G$5,보정점수표!$A$3:$M$103,3,FALSE)</f>
        <v>63.7</v>
      </c>
      <c r="O4" s="239">
        <f>VLOOKUP(성적입력!H$5,보정점수표!$A$3:$M$103,3,FALSE)</f>
        <v>61.93</v>
      </c>
      <c r="P4" s="239">
        <f>VLOOKUP(성적입력!I$5,보정점수표!$A$3:$M$103,3,FALSE)</f>
        <v>61.93</v>
      </c>
      <c r="Q4" s="239">
        <f>VLOOKUP(성적입력!J$5,보정점수표!$A$3:$M$103,3,FALSE)</f>
        <v>35.31</v>
      </c>
      <c r="R4" s="240"/>
      <c r="S4" s="237"/>
      <c r="T4" s="242">
        <f>성적입력!D$4/계산도구!X4</f>
        <v>0.8571428571428571</v>
      </c>
      <c r="U4" s="242">
        <f>성적입력!E$4/계산도구!Y4</f>
        <v>0.71895424836601307</v>
      </c>
      <c r="V4" s="242">
        <f>성적입력!F$4/계산도구!Z4</f>
        <v>0.852112676056338</v>
      </c>
      <c r="W4" s="244"/>
      <c r="X4" s="235">
        <f>AK$2</f>
        <v>140</v>
      </c>
      <c r="Y4" s="235">
        <f>IF(성적입력!$K$4="가형",AL$2,AM$2)</f>
        <v>153</v>
      </c>
      <c r="Z4" s="235">
        <f>AN$2</f>
        <v>142</v>
      </c>
      <c r="AA4" s="245">
        <f>보정점수표!C3</f>
        <v>72.37</v>
      </c>
      <c r="AB4" s="246"/>
      <c r="AC4" s="237"/>
      <c r="AD4" s="1036">
        <f t="shared" ref="AD4:AF4" si="1">200/700</f>
        <v>0.2857142857142857</v>
      </c>
      <c r="AE4" s="1045">
        <f t="shared" si="1"/>
        <v>0.2857142857142857</v>
      </c>
      <c r="AF4" s="1045">
        <f t="shared" si="1"/>
        <v>0.2857142857142857</v>
      </c>
      <c r="AG4" s="1037">
        <f>100/700</f>
        <v>0.14285714285714285</v>
      </c>
      <c r="AH4" s="237"/>
      <c r="AJ4" s="233"/>
      <c r="AK4" s="694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695"/>
    </row>
    <row r="5" spans="1:48" s="485" customFormat="1" ht="14.25" thickBot="1">
      <c r="A5" s="875" t="s">
        <v>268</v>
      </c>
      <c r="B5" s="486" t="s">
        <v>46</v>
      </c>
      <c r="C5" s="487">
        <v>750</v>
      </c>
      <c r="D5" s="488">
        <f>성적입력!D$4*계산도구!X5</f>
        <v>96</v>
      </c>
      <c r="E5" s="488">
        <f>성적입력!E$4*계산도구!Y5</f>
        <v>132</v>
      </c>
      <c r="F5" s="488">
        <f>성적입력!F$4*계산도구!Z5</f>
        <v>145.19999999999999</v>
      </c>
      <c r="G5" s="489">
        <f>M5*AA5</f>
        <v>100.52000000000001</v>
      </c>
      <c r="H5" s="490"/>
      <c r="I5" s="491"/>
      <c r="J5" s="492"/>
      <c r="K5" s="492"/>
      <c r="L5" s="493"/>
      <c r="M5" s="593">
        <f>(LARGE(N5:R5,1)+LARGE(N5:R5,2))</f>
        <v>125.65</v>
      </c>
      <c r="N5" s="491">
        <f>VLOOKUP(성적입력!G$5,보정점수표!$A$3:$M$103,4,FALSE)</f>
        <v>63.71</v>
      </c>
      <c r="O5" s="492">
        <f>VLOOKUP(성적입력!H$5,보정점수표!$A$3:$M$103,4,FALSE)</f>
        <v>61.94</v>
      </c>
      <c r="P5" s="492">
        <f>VLOOKUP(성적입력!I$5,보정점수표!$A$3:$M$103,4,FALSE)</f>
        <v>61.94</v>
      </c>
      <c r="Q5" s="492">
        <f>VLOOKUP(성적입력!J$5,보정점수표!$A$3:$M$103,4,FALSE)</f>
        <v>35.31</v>
      </c>
      <c r="R5" s="494"/>
      <c r="S5" s="490"/>
      <c r="T5" s="495"/>
      <c r="U5" s="488"/>
      <c r="V5" s="489"/>
      <c r="W5" s="496"/>
      <c r="X5" s="487">
        <v>0.8</v>
      </c>
      <c r="Y5" s="497">
        <v>1.2</v>
      </c>
      <c r="Z5" s="497">
        <v>1.2</v>
      </c>
      <c r="AA5" s="497">
        <v>0.8</v>
      </c>
      <c r="AB5" s="498"/>
      <c r="AC5" s="490"/>
      <c r="AD5" s="1046">
        <v>0.2</v>
      </c>
      <c r="AE5" s="1047">
        <v>0.3</v>
      </c>
      <c r="AF5" s="1047">
        <v>0.3</v>
      </c>
      <c r="AG5" s="1048">
        <v>0.2</v>
      </c>
      <c r="AH5" s="490"/>
      <c r="AI5" s="653"/>
      <c r="AJ5" s="673"/>
      <c r="AK5" s="696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697"/>
    </row>
    <row r="6" spans="1:48" s="632" customFormat="1">
      <c r="A6" s="876" t="s">
        <v>269</v>
      </c>
      <c r="B6" s="622" t="s">
        <v>46</v>
      </c>
      <c r="C6" s="25">
        <v>700</v>
      </c>
      <c r="D6" s="623">
        <f t="shared" ref="D6:F22" si="2">T6*I6</f>
        <v>84</v>
      </c>
      <c r="E6" s="623">
        <f t="shared" si="2"/>
        <v>115.50000000000001</v>
      </c>
      <c r="F6" s="623">
        <f t="shared" si="2"/>
        <v>84.7</v>
      </c>
      <c r="G6" s="624">
        <f>M6*L6</f>
        <v>131.9325</v>
      </c>
      <c r="H6" s="128"/>
      <c r="I6" s="625">
        <f t="shared" ref="I6:L22" si="3">AD6*$C6</f>
        <v>140</v>
      </c>
      <c r="J6" s="626">
        <f t="shared" si="3"/>
        <v>210</v>
      </c>
      <c r="K6" s="626">
        <f t="shared" si="3"/>
        <v>140</v>
      </c>
      <c r="L6" s="627">
        <f t="shared" si="3"/>
        <v>210</v>
      </c>
      <c r="M6" s="633">
        <f>(LARGE(N6:R6,1)+LARGE(N6:R6,2))/2</f>
        <v>0.62824999999999998</v>
      </c>
      <c r="N6" s="625">
        <f>VLOOKUP(성적입력!G$5,보정점수표!$A$3:$M$103,5,FALSE)/$AA6</f>
        <v>0.6371</v>
      </c>
      <c r="O6" s="626">
        <f>VLOOKUP(성적입력!H$5,보정점수표!$A$3:$M$103,5,FALSE)/$AA6</f>
        <v>0.61939999999999995</v>
      </c>
      <c r="P6" s="628">
        <f>VLOOKUP(성적입력!I$5,보정점수표!$A$3:$M$103,5,FALSE)/$AA6</f>
        <v>0.61939999999999995</v>
      </c>
      <c r="Q6" s="628">
        <f>VLOOKUP(성적입력!J$5,보정점수표!$A$3:$M$103,5,FALSE)/$AA6</f>
        <v>0.35310000000000002</v>
      </c>
      <c r="R6" s="629"/>
      <c r="S6" s="128"/>
      <c r="T6" s="630">
        <f>성적입력!D$4/계산도구!X6</f>
        <v>0.6</v>
      </c>
      <c r="U6" s="623">
        <f>성적입력!E$4/계산도구!Y6</f>
        <v>0.55000000000000004</v>
      </c>
      <c r="V6" s="624">
        <f>성적입력!F$4/계산도구!Z6</f>
        <v>0.60499999999999998</v>
      </c>
      <c r="W6" s="631"/>
      <c r="X6" s="25">
        <v>200</v>
      </c>
      <c r="Y6" s="26">
        <v>200</v>
      </c>
      <c r="Z6" s="26">
        <v>200</v>
      </c>
      <c r="AA6" s="26">
        <v>100</v>
      </c>
      <c r="AB6" s="27"/>
      <c r="AC6" s="128"/>
      <c r="AD6" s="1049">
        <v>0.2</v>
      </c>
      <c r="AE6" s="1050">
        <v>0.3</v>
      </c>
      <c r="AF6" s="1050">
        <v>0.2</v>
      </c>
      <c r="AG6" s="1051">
        <v>0.3</v>
      </c>
      <c r="AH6" s="128"/>
      <c r="AJ6" s="674"/>
      <c r="AK6" s="54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48"/>
    </row>
    <row r="7" spans="1:48" s="647" customFormat="1">
      <c r="A7" s="877" t="s">
        <v>270</v>
      </c>
      <c r="B7" s="634" t="s">
        <v>219</v>
      </c>
      <c r="C7" s="635">
        <v>1000</v>
      </c>
      <c r="D7" s="636">
        <f t="shared" ref="D7:D8" si="4">T7*I7</f>
        <v>0</v>
      </c>
      <c r="E7" s="636">
        <f t="shared" ref="E7:E8" si="5">U7*J7</f>
        <v>275</v>
      </c>
      <c r="F7" s="636">
        <f t="shared" ref="F7:F8" si="6">V7*K7</f>
        <v>0</v>
      </c>
      <c r="G7" s="637">
        <f t="shared" ref="G7:G8" si="7">M7*L7</f>
        <v>314.125</v>
      </c>
      <c r="H7" s="634"/>
      <c r="I7" s="638">
        <f t="shared" ref="I7:I8" si="8">AD7*$C7</f>
        <v>0</v>
      </c>
      <c r="J7" s="639">
        <f t="shared" ref="J7:J8" si="9">AE7*$C7</f>
        <v>500</v>
      </c>
      <c r="K7" s="639">
        <f t="shared" ref="K7:K8" si="10">AF7*$C7</f>
        <v>0</v>
      </c>
      <c r="L7" s="640">
        <f t="shared" ref="L7:L8" si="11">AG7*$C7</f>
        <v>500</v>
      </c>
      <c r="M7" s="641">
        <f>(LARGE(N7:R7,1)+LARGE(N7:R7,2))/2</f>
        <v>0.62824999999999998</v>
      </c>
      <c r="N7" s="638">
        <f>VLOOKUP(성적입력!G$5,보정점수표!$A$3:$M$103,5,FALSE)/$AA7</f>
        <v>0.6371</v>
      </c>
      <c r="O7" s="638">
        <f>VLOOKUP(성적입력!H$5,보정점수표!$A$3:$M$103,5,FALSE)/$AA7</f>
        <v>0.61939999999999995</v>
      </c>
      <c r="P7" s="642">
        <f>VLOOKUP(성적입력!I$5,보정점수표!$A$3:$M$103,5,FALSE)/$AA7</f>
        <v>0.61939999999999995</v>
      </c>
      <c r="Q7" s="642">
        <f>VLOOKUP(성적입력!J$5,보정점수표!$A$3:$M$103,5,FALSE)/$AA7</f>
        <v>0.35310000000000002</v>
      </c>
      <c r="R7" s="643"/>
      <c r="S7" s="634"/>
      <c r="T7" s="644">
        <f>성적입력!D$4/계산도구!X7</f>
        <v>0.6</v>
      </c>
      <c r="U7" s="636">
        <f>성적입력!E$4/계산도구!Y7</f>
        <v>0.55000000000000004</v>
      </c>
      <c r="V7" s="637">
        <f>성적입력!F$4/계산도구!Z7</f>
        <v>0.60499999999999998</v>
      </c>
      <c r="W7" s="645"/>
      <c r="X7" s="635">
        <v>200</v>
      </c>
      <c r="Y7" s="635">
        <v>200</v>
      </c>
      <c r="Z7" s="635">
        <v>200</v>
      </c>
      <c r="AA7" s="646">
        <v>100</v>
      </c>
      <c r="AB7" s="514"/>
      <c r="AC7" s="634"/>
      <c r="AD7" s="1052"/>
      <c r="AE7" s="1053">
        <v>0.5</v>
      </c>
      <c r="AF7" s="1053"/>
      <c r="AG7" s="1054">
        <v>0.5</v>
      </c>
      <c r="AH7" s="634"/>
      <c r="AJ7" s="648"/>
      <c r="AK7" s="698"/>
      <c r="AL7" s="646"/>
      <c r="AM7" s="646"/>
      <c r="AN7" s="646"/>
      <c r="AO7" s="646"/>
      <c r="AP7" s="646"/>
      <c r="AQ7" s="646"/>
      <c r="AR7" s="646"/>
      <c r="AS7" s="646"/>
      <c r="AT7" s="646"/>
      <c r="AU7" s="646"/>
      <c r="AV7" s="699"/>
    </row>
    <row r="8" spans="1:48" s="24" customFormat="1" ht="14.25" thickBot="1">
      <c r="A8" s="878" t="s">
        <v>271</v>
      </c>
      <c r="B8" s="501" t="s">
        <v>122</v>
      </c>
      <c r="C8" s="502">
        <v>700</v>
      </c>
      <c r="D8" s="503">
        <f t="shared" si="4"/>
        <v>84</v>
      </c>
      <c r="E8" s="503">
        <f t="shared" si="5"/>
        <v>115.50000000000001</v>
      </c>
      <c r="F8" s="503">
        <f t="shared" si="6"/>
        <v>84.7</v>
      </c>
      <c r="G8" s="504">
        <f t="shared" si="7"/>
        <v>131.31299999999999</v>
      </c>
      <c r="H8" s="505"/>
      <c r="I8" s="506">
        <f t="shared" si="8"/>
        <v>140</v>
      </c>
      <c r="J8" s="507">
        <f t="shared" si="9"/>
        <v>210</v>
      </c>
      <c r="K8" s="507">
        <f t="shared" si="10"/>
        <v>140</v>
      </c>
      <c r="L8" s="508">
        <f t="shared" si="11"/>
        <v>210</v>
      </c>
      <c r="M8" s="509">
        <f t="shared" ref="M8" si="12">(LARGE(N8:R8,1)+LARGE(N8:R8,2)+LARGE(N8:R8,3))/3</f>
        <v>0.62529999999999997</v>
      </c>
      <c r="N8" s="506">
        <f>VLOOKUP(성적입력!G$5,보정점수표!$A$3:$M$103,5,FALSE)/$AA8</f>
        <v>0.6371</v>
      </c>
      <c r="O8" s="506">
        <f>VLOOKUP(성적입력!H$5,보정점수표!$A$3:$M$103,5,FALSE)/$AA8</f>
        <v>0.61939999999999995</v>
      </c>
      <c r="P8" s="621">
        <f>VLOOKUP(성적입력!I$5,보정점수표!$A$3:$M$103,5,FALSE)/$AA8</f>
        <v>0.61939999999999995</v>
      </c>
      <c r="Q8" s="621">
        <f>VLOOKUP(성적입력!J$5,보정점수표!$A$3:$M$103,5,FALSE)/$AA8</f>
        <v>0.35310000000000002</v>
      </c>
      <c r="R8" s="510"/>
      <c r="S8" s="505"/>
      <c r="T8" s="511">
        <f>성적입력!D$4/계산도구!X8</f>
        <v>0.6</v>
      </c>
      <c r="U8" s="503">
        <f>성적입력!E$4/계산도구!Y8</f>
        <v>0.55000000000000004</v>
      </c>
      <c r="V8" s="504">
        <f>성적입력!F$4/계산도구!Z8</f>
        <v>0.60499999999999998</v>
      </c>
      <c r="W8" s="512"/>
      <c r="X8" s="502">
        <v>200</v>
      </c>
      <c r="Y8" s="502">
        <v>200</v>
      </c>
      <c r="Z8" s="502">
        <v>200</v>
      </c>
      <c r="AA8" s="51">
        <v>100</v>
      </c>
      <c r="AB8" s="500"/>
      <c r="AC8" s="505"/>
      <c r="AD8" s="1055">
        <v>0.2</v>
      </c>
      <c r="AE8" s="1056">
        <v>0.3</v>
      </c>
      <c r="AF8" s="1056">
        <v>0.2</v>
      </c>
      <c r="AG8" s="1057">
        <v>0.3</v>
      </c>
      <c r="AH8" s="505"/>
      <c r="AJ8" s="47"/>
      <c r="AK8" s="52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3"/>
    </row>
    <row r="9" spans="1:48" s="248" customFormat="1" ht="14.25" thickBot="1">
      <c r="A9" s="874" t="s">
        <v>272</v>
      </c>
      <c r="B9" s="234" t="s">
        <v>46</v>
      </c>
      <c r="C9" s="235">
        <v>700</v>
      </c>
      <c r="D9" s="236">
        <f t="shared" si="2"/>
        <v>120</v>
      </c>
      <c r="E9" s="236">
        <f t="shared" si="2"/>
        <v>150.98039215686273</v>
      </c>
      <c r="F9" s="236">
        <f t="shared" si="2"/>
        <v>178.94366197183098</v>
      </c>
      <c r="G9" s="243">
        <f>M9</f>
        <v>128.45525000000001</v>
      </c>
      <c r="H9" s="237"/>
      <c r="I9" s="238">
        <f t="shared" si="3"/>
        <v>140</v>
      </c>
      <c r="J9" s="239">
        <f t="shared" si="3"/>
        <v>210</v>
      </c>
      <c r="K9" s="239">
        <f t="shared" si="3"/>
        <v>210</v>
      </c>
      <c r="L9" s="240">
        <f t="shared" si="3"/>
        <v>140</v>
      </c>
      <c r="M9" s="595">
        <f>(LARGE(N9:R9,1)+LARGE(N9:R9,2))</f>
        <v>128.45525000000001</v>
      </c>
      <c r="N9" s="774">
        <f>IF(성적입력!G$3=0,0,IF(OR(성적입력!G3="물2",성적입력!G3="화2",성적입력!G3="생2",성적입력!G3="생2"),HLOOKUP(성적입력!G$3,'서울대-한양대보정별첨'!$J$2:$Q$103,102-성적입력!G$4,FALSE)/$AA9*1.03,HLOOKUP(성적입력!G$3,'서울대-한양대보정별첨'!$J$2:$Q$103,102-성적입력!G$4,FALSE)/$AA9))*70</f>
        <v>64.186111111111103</v>
      </c>
      <c r="O9" s="774">
        <f>IF(성적입력!H$3=0,0,IF(OR(성적입력!H3="물2",성적입력!H3="화2",성적입력!H3="생2",성적입력!H3="생2"),HLOOKUP(성적입력!H$3,'서울대-한양대보정별첨'!$J$2:$Q$103,102-성적입력!H$4,FALSE)/$AA9*1.03,HLOOKUP(성적입력!H$3,'서울대-한양대보정별첨'!$J$2:$Q$103,102-성적입력!H$4,FALSE)/$AA9))*70</f>
        <v>62.397222222222233</v>
      </c>
      <c r="P9" s="774">
        <f>IF(성적입력!I$3=0,0,IF(OR(성적입력!I3="물2",성적입력!I3="화2",성적입력!I3="생2",성적입력!I3="생2"),HLOOKUP(성적입력!I$3,'서울대-한양대보정별첨'!$J$2:$Q$103,102-성적입력!I$4,FALSE)/$AA9*1.03,HLOOKUP(성적입력!I$3,'서울대-한양대보정별첨'!$J$2:$Q$103,102-성적입력!I$4,FALSE)/$AA9))*70</f>
        <v>64.269138888888904</v>
      </c>
      <c r="Q9" s="774">
        <f>IF(성적입력!J$3=0,0,IF(OR(성적입력!J3="물2",성적입력!J3="화2",성적입력!J3="생2",성적입력!J3="생2"),HLOOKUP(성적입력!J$3,'서울대-한양대보정별첨'!$J$2:$Q$103,102-성적입력!J$4,FALSE)/$AA9*1.03,HLOOKUP(성적입력!J$3,'서울대-한양대보정별첨'!$J$2:$Q$103,102-성적입력!J$4,FALSE)/$AA9))*70</f>
        <v>27.41802777777778</v>
      </c>
      <c r="R9" s="240"/>
      <c r="S9" s="237"/>
      <c r="T9" s="242">
        <f>성적입력!D$4/계산도구!X9</f>
        <v>0.8571428571428571</v>
      </c>
      <c r="U9" s="236">
        <f>성적입력!E$4/계산도구!Y9</f>
        <v>0.71895424836601307</v>
      </c>
      <c r="V9" s="243">
        <f>성적입력!F$4/계산도구!Z9</f>
        <v>0.852112676056338</v>
      </c>
      <c r="W9" s="244"/>
      <c r="X9" s="235">
        <f>AK$2</f>
        <v>140</v>
      </c>
      <c r="Y9" s="235">
        <f>IF(성적입력!$K$4="가형",AL$2,AM$2)</f>
        <v>153</v>
      </c>
      <c r="Z9" s="235">
        <f>AN$2</f>
        <v>142</v>
      </c>
      <c r="AA9" s="245">
        <v>72</v>
      </c>
      <c r="AB9" s="246"/>
      <c r="AC9" s="237"/>
      <c r="AD9" s="1036">
        <v>0.2</v>
      </c>
      <c r="AE9" s="1045">
        <v>0.3</v>
      </c>
      <c r="AF9" s="1058">
        <v>0.3</v>
      </c>
      <c r="AG9" s="1059">
        <v>0.2</v>
      </c>
      <c r="AH9" s="237"/>
      <c r="AJ9" s="233"/>
      <c r="AK9" s="694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695"/>
    </row>
    <row r="10" spans="1:48" s="274" customFormat="1">
      <c r="A10" s="879" t="s">
        <v>48</v>
      </c>
      <c r="B10" s="264" t="s">
        <v>206</v>
      </c>
      <c r="C10" s="132">
        <v>600</v>
      </c>
      <c r="D10" s="265">
        <f>IF(T10&gt;=V10,T10*I10,0)</f>
        <v>99.6</v>
      </c>
      <c r="E10" s="265">
        <f>U10*J10</f>
        <v>117</v>
      </c>
      <c r="F10" s="265">
        <f>IF(V10&gt;T10,V10*K10,0)</f>
        <v>0</v>
      </c>
      <c r="G10" s="266">
        <f t="shared" ref="G10:G16" si="13">M10*L10</f>
        <v>151.79999999999998</v>
      </c>
      <c r="H10" s="131"/>
      <c r="I10" s="267">
        <f t="shared" si="3"/>
        <v>120</v>
      </c>
      <c r="J10" s="268">
        <f t="shared" si="3"/>
        <v>180</v>
      </c>
      <c r="K10" s="268">
        <f t="shared" si="3"/>
        <v>120</v>
      </c>
      <c r="L10" s="269">
        <f t="shared" si="3"/>
        <v>180</v>
      </c>
      <c r="M10" s="270">
        <f t="shared" ref="M10:M13" si="14">(LARGE(N10:R10,1)+LARGE(N10:R10,2)+LARGE(N10:R10,3))/3</f>
        <v>0.84333333333333327</v>
      </c>
      <c r="N10" s="267">
        <f>성적입력!G$5/계산도구!$AA10</f>
        <v>0.87</v>
      </c>
      <c r="O10" s="267">
        <f>성적입력!H$5/계산도구!$AA10</f>
        <v>0.83</v>
      </c>
      <c r="P10" s="267">
        <f>성적입력!I$5/계산도구!$AA10</f>
        <v>0.83</v>
      </c>
      <c r="Q10" s="267">
        <f>성적입력!J$5/계산도구!$AA10</f>
        <v>0.03</v>
      </c>
      <c r="R10" s="271"/>
      <c r="S10" s="131"/>
      <c r="T10" s="272">
        <f>성적입력!D$5/계산도구!X10</f>
        <v>0.83</v>
      </c>
      <c r="U10" s="265">
        <f>성적입력!E$5/계산도구!Y10</f>
        <v>0.65</v>
      </c>
      <c r="V10" s="266">
        <f>성적입력!F$5/계산도구!Z10</f>
        <v>0.82</v>
      </c>
      <c r="W10" s="273"/>
      <c r="X10" s="132">
        <v>100</v>
      </c>
      <c r="Y10" s="133">
        <v>100</v>
      </c>
      <c r="Z10" s="133">
        <v>100</v>
      </c>
      <c r="AA10" s="133">
        <v>100</v>
      </c>
      <c r="AB10" s="134"/>
      <c r="AC10" s="131"/>
      <c r="AD10" s="1060">
        <v>0.2</v>
      </c>
      <c r="AE10" s="1061">
        <v>0.3</v>
      </c>
      <c r="AF10" s="1061">
        <v>0.2</v>
      </c>
      <c r="AG10" s="1062">
        <v>0.3</v>
      </c>
      <c r="AH10" s="131"/>
      <c r="AI10" s="654"/>
      <c r="AJ10" s="675"/>
      <c r="AK10" s="700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701"/>
    </row>
    <row r="11" spans="1:48" s="286" customFormat="1">
      <c r="A11" s="880" t="s">
        <v>49</v>
      </c>
      <c r="B11" s="275" t="s">
        <v>104</v>
      </c>
      <c r="C11" s="136">
        <v>600</v>
      </c>
      <c r="D11" s="276">
        <f t="shared" si="2"/>
        <v>124.5</v>
      </c>
      <c r="E11" s="276">
        <f t="shared" si="2"/>
        <v>117</v>
      </c>
      <c r="F11" s="276">
        <f t="shared" si="2"/>
        <v>122.99999999999999</v>
      </c>
      <c r="G11" s="277">
        <f t="shared" si="13"/>
        <v>101.19999999999999</v>
      </c>
      <c r="H11" s="135"/>
      <c r="I11" s="278">
        <f t="shared" si="3"/>
        <v>150</v>
      </c>
      <c r="J11" s="279">
        <f t="shared" si="3"/>
        <v>180</v>
      </c>
      <c r="K11" s="279">
        <f t="shared" si="3"/>
        <v>150</v>
      </c>
      <c r="L11" s="280">
        <f t="shared" si="3"/>
        <v>120</v>
      </c>
      <c r="M11" s="281">
        <f t="shared" si="14"/>
        <v>0.84333333333333327</v>
      </c>
      <c r="N11" s="278">
        <f>성적입력!G$5/계산도구!$AA11</f>
        <v>0.87</v>
      </c>
      <c r="O11" s="279">
        <f>성적입력!H$5/계산도구!$AA11</f>
        <v>0.83</v>
      </c>
      <c r="P11" s="282">
        <f>성적입력!I$5/계산도구!$AA11</f>
        <v>0.83</v>
      </c>
      <c r="Q11" s="282">
        <f>성적입력!J$5/계산도구!$AA11</f>
        <v>0.03</v>
      </c>
      <c r="R11" s="283"/>
      <c r="S11" s="135"/>
      <c r="T11" s="284">
        <f>성적입력!D$5/계산도구!X11</f>
        <v>0.83</v>
      </c>
      <c r="U11" s="276">
        <f>성적입력!E$5/계산도구!Y11</f>
        <v>0.65</v>
      </c>
      <c r="V11" s="277">
        <f>성적입력!F$5/계산도구!Z11</f>
        <v>0.82</v>
      </c>
      <c r="W11" s="285"/>
      <c r="X11" s="136">
        <v>100</v>
      </c>
      <c r="Y11" s="137">
        <v>100</v>
      </c>
      <c r="Z11" s="137">
        <v>100</v>
      </c>
      <c r="AA11" s="137">
        <v>100</v>
      </c>
      <c r="AB11" s="138"/>
      <c r="AC11" s="135"/>
      <c r="AD11" s="1063">
        <v>0.25</v>
      </c>
      <c r="AE11" s="1064">
        <v>0.3</v>
      </c>
      <c r="AF11" s="1064">
        <v>0.25</v>
      </c>
      <c r="AG11" s="1065">
        <v>0.2</v>
      </c>
      <c r="AH11" s="135"/>
      <c r="AI11" s="655"/>
      <c r="AJ11" s="676"/>
      <c r="AK11" s="702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703"/>
    </row>
    <row r="12" spans="1:48" s="286" customFormat="1">
      <c r="A12" s="880" t="s">
        <v>50</v>
      </c>
      <c r="B12" s="275" t="s">
        <v>105</v>
      </c>
      <c r="C12" s="136">
        <v>600</v>
      </c>
      <c r="D12" s="276">
        <f t="shared" si="2"/>
        <v>124.5</v>
      </c>
      <c r="E12" s="276">
        <f t="shared" si="2"/>
        <v>97.5</v>
      </c>
      <c r="F12" s="276">
        <f t="shared" si="2"/>
        <v>122.99999999999999</v>
      </c>
      <c r="G12" s="277">
        <f t="shared" si="13"/>
        <v>126.49999999999999</v>
      </c>
      <c r="H12" s="135"/>
      <c r="I12" s="278">
        <f t="shared" si="3"/>
        <v>150</v>
      </c>
      <c r="J12" s="279">
        <f t="shared" si="3"/>
        <v>150</v>
      </c>
      <c r="K12" s="279">
        <f t="shared" si="3"/>
        <v>150</v>
      </c>
      <c r="L12" s="280">
        <f t="shared" si="3"/>
        <v>150</v>
      </c>
      <c r="M12" s="281">
        <f t="shared" si="14"/>
        <v>0.84333333333333327</v>
      </c>
      <c r="N12" s="278">
        <f>성적입력!G$5/계산도구!$AA12</f>
        <v>0.87</v>
      </c>
      <c r="O12" s="279">
        <f>성적입력!H$5/계산도구!$AA12</f>
        <v>0.83</v>
      </c>
      <c r="P12" s="282">
        <f>성적입력!I$5/계산도구!$AA12</f>
        <v>0.83</v>
      </c>
      <c r="Q12" s="282">
        <f>성적입력!J$5/계산도구!$AA12</f>
        <v>0.03</v>
      </c>
      <c r="R12" s="283"/>
      <c r="S12" s="135"/>
      <c r="T12" s="284">
        <f>성적입력!D$5/계산도구!X12</f>
        <v>0.83</v>
      </c>
      <c r="U12" s="276">
        <f>성적입력!E$5/계산도구!Y12</f>
        <v>0.65</v>
      </c>
      <c r="V12" s="277">
        <f>성적입력!F$5/계산도구!Z12</f>
        <v>0.82</v>
      </c>
      <c r="W12" s="285"/>
      <c r="X12" s="136">
        <v>100</v>
      </c>
      <c r="Y12" s="137">
        <v>100</v>
      </c>
      <c r="Z12" s="137">
        <v>100</v>
      </c>
      <c r="AA12" s="137">
        <v>100</v>
      </c>
      <c r="AB12" s="138"/>
      <c r="AC12" s="135"/>
      <c r="AD12" s="1063">
        <v>0.25</v>
      </c>
      <c r="AE12" s="1064">
        <v>0.25</v>
      </c>
      <c r="AF12" s="1064">
        <v>0.25</v>
      </c>
      <c r="AG12" s="1065">
        <v>0.25</v>
      </c>
      <c r="AH12" s="135"/>
      <c r="AI12" s="655"/>
      <c r="AJ12" s="676"/>
      <c r="AK12" s="702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703"/>
    </row>
    <row r="13" spans="1:48" s="286" customFormat="1" ht="14.25" thickBot="1">
      <c r="A13" s="892" t="s">
        <v>51</v>
      </c>
      <c r="B13" s="302" t="s">
        <v>205</v>
      </c>
      <c r="C13" s="303">
        <v>600</v>
      </c>
      <c r="D13" s="304">
        <f>IF(T13&gt;=V13,T13*I13,0)</f>
        <v>199.2</v>
      </c>
      <c r="E13" s="304">
        <f t="shared" si="2"/>
        <v>136.5</v>
      </c>
      <c r="F13" s="304">
        <f>IF(V13&gt;T13,V13*K13,0)</f>
        <v>0</v>
      </c>
      <c r="G13" s="313">
        <f t="shared" si="13"/>
        <v>126.49999999999999</v>
      </c>
      <c r="H13" s="305"/>
      <c r="I13" s="306">
        <f t="shared" si="3"/>
        <v>240</v>
      </c>
      <c r="J13" s="307">
        <f t="shared" si="3"/>
        <v>210</v>
      </c>
      <c r="K13" s="307">
        <f t="shared" si="3"/>
        <v>240</v>
      </c>
      <c r="L13" s="308">
        <f t="shared" si="3"/>
        <v>150</v>
      </c>
      <c r="M13" s="309">
        <f t="shared" si="14"/>
        <v>0.84333333333333327</v>
      </c>
      <c r="N13" s="306">
        <f>성적입력!G$5/계산도구!$AA13</f>
        <v>0.87</v>
      </c>
      <c r="O13" s="307">
        <f>성적입력!H$5/계산도구!$AA13</f>
        <v>0.83</v>
      </c>
      <c r="P13" s="310">
        <f>성적입력!I$5/계산도구!$AA13</f>
        <v>0.83</v>
      </c>
      <c r="Q13" s="310">
        <f>성적입력!J$5/계산도구!$AA13</f>
        <v>0.03</v>
      </c>
      <c r="R13" s="311"/>
      <c r="S13" s="305"/>
      <c r="T13" s="312">
        <f>성적입력!D$5/계산도구!X13</f>
        <v>0.83</v>
      </c>
      <c r="U13" s="304">
        <f>성적입력!E$5/계산도구!Y13</f>
        <v>0.65</v>
      </c>
      <c r="V13" s="313">
        <f>성적입력!F$5/계산도구!Z13</f>
        <v>0.82</v>
      </c>
      <c r="W13" s="314"/>
      <c r="X13" s="303">
        <v>100</v>
      </c>
      <c r="Y13" s="315">
        <v>100</v>
      </c>
      <c r="Z13" s="315">
        <v>100</v>
      </c>
      <c r="AA13" s="315">
        <v>100</v>
      </c>
      <c r="AB13" s="301"/>
      <c r="AC13" s="305"/>
      <c r="AD13" s="1066">
        <v>0.4</v>
      </c>
      <c r="AE13" s="1067">
        <v>0.35</v>
      </c>
      <c r="AF13" s="1067">
        <v>0.4</v>
      </c>
      <c r="AG13" s="1068">
        <v>0.25</v>
      </c>
      <c r="AH13" s="305"/>
      <c r="AI13" s="661"/>
      <c r="AJ13" s="399"/>
      <c r="AK13" s="711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712"/>
    </row>
    <row r="14" spans="1:48" s="867" customFormat="1" ht="14.25" thickBot="1">
      <c r="A14" s="873" t="s">
        <v>273</v>
      </c>
      <c r="B14" s="204" t="s">
        <v>46</v>
      </c>
      <c r="C14" s="847">
        <v>700</v>
      </c>
      <c r="D14" s="206">
        <f>ROUNDUP(T14*I14,3)</f>
        <v>120</v>
      </c>
      <c r="E14" s="206">
        <f>ROUNDUP(U14*J14,3)</f>
        <v>150.98099999999999</v>
      </c>
      <c r="F14" s="206">
        <f>ROUNDUP(V14*K14,3)</f>
        <v>178.94400000000002</v>
      </c>
      <c r="G14" s="207">
        <f>ROUNDUP(M14*L14,3)</f>
        <v>121.51600000000001</v>
      </c>
      <c r="H14" s="208"/>
      <c r="I14" s="209">
        <f t="shared" si="3"/>
        <v>140</v>
      </c>
      <c r="J14" s="210">
        <f t="shared" si="3"/>
        <v>210</v>
      </c>
      <c r="K14" s="210">
        <f t="shared" si="3"/>
        <v>210</v>
      </c>
      <c r="L14" s="211">
        <f t="shared" si="3"/>
        <v>140</v>
      </c>
      <c r="M14" s="594">
        <f>(LARGE(N14:R14,1)+LARGE(N14:R14,2))/2</f>
        <v>0.86797015337847172</v>
      </c>
      <c r="N14" s="209">
        <f>VLOOKUP(성적입력!G$5,보정점수표!$A$3:$M$103,7,FALSE)/$AA14</f>
        <v>0.88019897747685505</v>
      </c>
      <c r="O14" s="210">
        <f>VLOOKUP(성적입력!H$5,보정점수표!$A$3:$M$103,7,FALSE)/$AA14</f>
        <v>0.85574132928008839</v>
      </c>
      <c r="P14" s="915">
        <f>VLOOKUP(성적입력!I$5,보정점수표!$A$3:$M$103,7,FALSE)/$AA14</f>
        <v>0.85574132928008839</v>
      </c>
      <c r="Q14" s="915">
        <f>VLOOKUP(성적입력!J$5,보정점수표!$A$3:$M$103,7,FALSE)/$AA14</f>
        <v>0.48790935470498825</v>
      </c>
      <c r="R14" s="213"/>
      <c r="S14" s="208"/>
      <c r="T14" s="214">
        <f>성적입력!D$4/계산도구!X14</f>
        <v>0.8571428571428571</v>
      </c>
      <c r="U14" s="206">
        <f>성적입력!E$4/계산도구!Y14</f>
        <v>0.71895424836601307</v>
      </c>
      <c r="V14" s="207">
        <f>성적입력!F$4/계산도구!Z14</f>
        <v>0.852112676056338</v>
      </c>
      <c r="W14" s="215"/>
      <c r="X14" s="847">
        <f>AK$2</f>
        <v>140</v>
      </c>
      <c r="Y14" s="928">
        <f>IF(성적입력!$K$4="가형",AL$2,AM$2)</f>
        <v>153</v>
      </c>
      <c r="Z14" s="928">
        <f t="shared" ref="Z14" si="15">AN$2</f>
        <v>142</v>
      </c>
      <c r="AA14" s="928">
        <f>보정점수표!G$3</f>
        <v>72.37</v>
      </c>
      <c r="AB14" s="866"/>
      <c r="AC14" s="208"/>
      <c r="AD14" s="1069">
        <v>0.2</v>
      </c>
      <c r="AE14" s="1070">
        <v>0.3</v>
      </c>
      <c r="AF14" s="1070">
        <v>0.3</v>
      </c>
      <c r="AG14" s="1071">
        <v>0.2</v>
      </c>
      <c r="AH14" s="208"/>
      <c r="AJ14" s="203"/>
      <c r="AK14" s="868"/>
      <c r="AL14" s="869"/>
      <c r="AM14" s="869"/>
      <c r="AN14" s="869"/>
      <c r="AO14" s="869"/>
      <c r="AP14" s="869"/>
      <c r="AQ14" s="869"/>
      <c r="AR14" s="869"/>
      <c r="AS14" s="869"/>
      <c r="AT14" s="869"/>
      <c r="AU14" s="869"/>
      <c r="AV14" s="870"/>
    </row>
    <row r="15" spans="1:48" s="77" customFormat="1" ht="14.25" thickBot="1">
      <c r="A15" s="881" t="s">
        <v>52</v>
      </c>
      <c r="B15" s="153" t="s">
        <v>46</v>
      </c>
      <c r="C15" s="59">
        <v>700</v>
      </c>
      <c r="D15" s="70">
        <f>T15*I15</f>
        <v>120</v>
      </c>
      <c r="E15" s="70">
        <f t="shared" si="2"/>
        <v>150.98039215686273</v>
      </c>
      <c r="F15" s="70">
        <f t="shared" si="2"/>
        <v>119.29577464788733</v>
      </c>
      <c r="G15" s="71">
        <f t="shared" si="13"/>
        <v>184.82789855072463</v>
      </c>
      <c r="H15" s="42"/>
      <c r="I15" s="72">
        <f t="shared" si="3"/>
        <v>140</v>
      </c>
      <c r="J15" s="73">
        <f t="shared" si="3"/>
        <v>210</v>
      </c>
      <c r="K15" s="73">
        <f t="shared" si="3"/>
        <v>140</v>
      </c>
      <c r="L15" s="144">
        <f t="shared" si="3"/>
        <v>210</v>
      </c>
      <c r="M15" s="775">
        <f>(LARGE($N15:$R15,1)+LARGE($N15:$R15,2))/2</f>
        <v>0.88013285024154586</v>
      </c>
      <c r="N15" s="72">
        <f>IF(성적입력!G$3=0,0,성적입력!G$4/HLOOKUP(성적입력!G$3,계산도구!$AO$1:$AV$3,2,FALSE))</f>
        <v>0.91304347826086951</v>
      </c>
      <c r="O15" s="73">
        <f>IF(성적입력!H$3=0,0,성적입력!H$4/HLOOKUP(성적입력!H$3,계산도구!$AO$1:$AV$3,2,FALSE))</f>
        <v>0.84722222222222221</v>
      </c>
      <c r="P15" s="68">
        <f>IF(성적입력!I$3=0,0,성적입력!I$4/HLOOKUP(성적입력!I$3,계산도구!$AO$1:$AV$3,2,FALSE))</f>
        <v>0.82666666666666666</v>
      </c>
      <c r="Q15" s="68">
        <f>IF(성적입력!J$3=0,0,성적입력!J$4/HLOOKUP(성적입력!J$3,계산도구!$AO$1:$AV$3,2,FALSE))</f>
        <v>0.50704225352112675</v>
      </c>
      <c r="R15" s="74"/>
      <c r="S15" s="42"/>
      <c r="T15" s="75">
        <f>성적입력!D$4/계산도구!X15</f>
        <v>0.8571428571428571</v>
      </c>
      <c r="U15" s="70">
        <f>성적입력!E$4/계산도구!Y15</f>
        <v>0.71895424836601307</v>
      </c>
      <c r="V15" s="71">
        <f>성적입력!F$4/계산도구!Z15</f>
        <v>0.852112676056338</v>
      </c>
      <c r="W15" s="76"/>
      <c r="X15" s="171">
        <f>AK$2</f>
        <v>140</v>
      </c>
      <c r="Y15" s="171">
        <f>IF(성적입력!$K$4="가형",AL$2,AM$2)</f>
        <v>153</v>
      </c>
      <c r="Z15" s="171">
        <f t="shared" ref="Z15:Z18" si="16">AN$2</f>
        <v>142</v>
      </c>
      <c r="AA15" s="39"/>
      <c r="AB15" s="60"/>
      <c r="AC15" s="42"/>
      <c r="AD15" s="1072">
        <v>0.2</v>
      </c>
      <c r="AE15" s="1073">
        <v>0.3</v>
      </c>
      <c r="AF15" s="1073">
        <v>0.2</v>
      </c>
      <c r="AG15" s="1074">
        <v>0.3</v>
      </c>
      <c r="AH15" s="42"/>
      <c r="AI15" s="656"/>
      <c r="AJ15" s="106"/>
      <c r="AK15" s="704"/>
      <c r="AL15" s="616"/>
      <c r="AM15" s="766"/>
      <c r="AN15" s="616"/>
      <c r="AO15" s="616"/>
      <c r="AP15" s="616"/>
      <c r="AQ15" s="616"/>
      <c r="AR15" s="616"/>
      <c r="AS15" s="616"/>
      <c r="AT15" s="616"/>
      <c r="AU15" s="616"/>
      <c r="AV15" s="705"/>
    </row>
    <row r="16" spans="1:48" s="93" customFormat="1" ht="14.25" thickBot="1">
      <c r="A16" s="882" t="s">
        <v>53</v>
      </c>
      <c r="B16" s="155" t="s">
        <v>139</v>
      </c>
      <c r="C16" s="83">
        <v>700</v>
      </c>
      <c r="D16" s="84">
        <f>T16*I16</f>
        <v>150</v>
      </c>
      <c r="E16" s="84">
        <f t="shared" si="2"/>
        <v>150.98039215686273</v>
      </c>
      <c r="F16" s="84">
        <f t="shared" si="2"/>
        <v>178.94366197183098</v>
      </c>
      <c r="G16" s="85">
        <f t="shared" si="13"/>
        <v>92.413949275362313</v>
      </c>
      <c r="H16" s="44"/>
      <c r="I16" s="86">
        <f t="shared" si="3"/>
        <v>175</v>
      </c>
      <c r="J16" s="87">
        <f t="shared" si="3"/>
        <v>210</v>
      </c>
      <c r="K16" s="87">
        <f t="shared" si="3"/>
        <v>210</v>
      </c>
      <c r="L16" s="120">
        <f t="shared" si="3"/>
        <v>105</v>
      </c>
      <c r="M16" s="776">
        <f>(LARGE($N16:$R16,1)+LARGE($N16:$R16,2))/2</f>
        <v>0.88013285024154586</v>
      </c>
      <c r="N16" s="86">
        <f>IF(성적입력!G$3=0,0,성적입력!G$4/HLOOKUP(성적입력!G$3,계산도구!$AO$1:$AV$3,2,FALSE))</f>
        <v>0.91304347826086951</v>
      </c>
      <c r="O16" s="87">
        <f>IF(성적입력!H$3=0,0,성적입력!H$4/HLOOKUP(성적입력!H$3,계산도구!$AO$1:$AV$3,2,FALSE))</f>
        <v>0.84722222222222221</v>
      </c>
      <c r="P16" s="88">
        <f>IF(성적입력!I$3=0,0,성적입력!I$4/HLOOKUP(성적입력!I$3,계산도구!$AO$1:$AV$3,2,FALSE))</f>
        <v>0.82666666666666666</v>
      </c>
      <c r="Q16" s="88">
        <f>IF(성적입력!J$3=0,0,성적입력!J$4/HLOOKUP(성적입력!J$3,계산도구!$AO$1:$AV$3,2,FALSE))</f>
        <v>0.50704225352112675</v>
      </c>
      <c r="R16" s="89"/>
      <c r="S16" s="44"/>
      <c r="T16" s="90">
        <f>성적입력!D$4/계산도구!X16</f>
        <v>0.8571428571428571</v>
      </c>
      <c r="U16" s="84">
        <f>성적입력!E$4/계산도구!Y16</f>
        <v>0.71895424836601307</v>
      </c>
      <c r="V16" s="85">
        <f>성적입력!F$4/계산도구!Z16</f>
        <v>0.852112676056338</v>
      </c>
      <c r="W16" s="91"/>
      <c r="X16" s="171">
        <f t="shared" ref="X16:X18" si="17">AK$2</f>
        <v>140</v>
      </c>
      <c r="Y16" s="171">
        <f>IF(성적입력!$K$4="가형",AL$2,AM$2)</f>
        <v>153</v>
      </c>
      <c r="Z16" s="171">
        <f t="shared" si="16"/>
        <v>142</v>
      </c>
      <c r="AA16" s="40"/>
      <c r="AB16" s="92"/>
      <c r="AC16" s="44"/>
      <c r="AD16" s="1075">
        <v>0.25</v>
      </c>
      <c r="AE16" s="1019">
        <v>0.3</v>
      </c>
      <c r="AF16" s="1019">
        <v>0.3</v>
      </c>
      <c r="AG16" s="1020">
        <v>0.15</v>
      </c>
      <c r="AH16" s="44"/>
      <c r="AI16" s="657"/>
      <c r="AJ16" s="82"/>
      <c r="AK16" s="35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62"/>
    </row>
    <row r="17" spans="1:49" s="77" customFormat="1" ht="14.25" thickBot="1">
      <c r="A17" s="881" t="s">
        <v>274</v>
      </c>
      <c r="B17" s="153" t="s">
        <v>142</v>
      </c>
      <c r="C17" s="59">
        <v>700</v>
      </c>
      <c r="D17" s="70">
        <f>T17*I17</f>
        <v>120</v>
      </c>
      <c r="E17" s="70">
        <f>U17*J17</f>
        <v>150.98039215686273</v>
      </c>
      <c r="F17" s="70">
        <f>V17*K17</f>
        <v>119.29577464788733</v>
      </c>
      <c r="G17" s="71">
        <f>M17*L17</f>
        <v>184.82789855072463</v>
      </c>
      <c r="H17" s="42"/>
      <c r="I17" s="72">
        <f t="shared" ref="I17:L18" si="18">AD17*$C17</f>
        <v>140</v>
      </c>
      <c r="J17" s="73">
        <f t="shared" si="18"/>
        <v>210</v>
      </c>
      <c r="K17" s="73">
        <f t="shared" si="18"/>
        <v>140</v>
      </c>
      <c r="L17" s="144">
        <f t="shared" si="18"/>
        <v>210</v>
      </c>
      <c r="M17" s="775">
        <f>(LARGE($N17:$R17,1)+LARGE($N17:$R17,2))/2</f>
        <v>0.88013285024154586</v>
      </c>
      <c r="N17" s="72">
        <f>IF(성적입력!G$3=0,0,성적입력!G$4/HLOOKUP(성적입력!G$3,계산도구!$AO$1:$AV$3,2,FALSE))</f>
        <v>0.91304347826086951</v>
      </c>
      <c r="O17" s="73">
        <f>IF(성적입력!H$3=0,0,성적입력!H$4/HLOOKUP(성적입력!H$3,계산도구!$AO$1:$AV$3,2,FALSE))</f>
        <v>0.84722222222222221</v>
      </c>
      <c r="P17" s="68">
        <f>IF(성적입력!I$3=0,0,성적입력!I$4/HLOOKUP(성적입력!I$3,계산도구!$AO$1:$AV$3,2,FALSE))</f>
        <v>0.82666666666666666</v>
      </c>
      <c r="Q17" s="68">
        <f>IF(성적입력!J$3=0,0,성적입력!J$4/HLOOKUP(성적입력!J$3,계산도구!$AO$1:$AV$3,2,FALSE))</f>
        <v>0.50704225352112675</v>
      </c>
      <c r="R17" s="74"/>
      <c r="S17" s="42"/>
      <c r="T17" s="75">
        <f>성적입력!D$4/계산도구!X17</f>
        <v>0.8571428571428571</v>
      </c>
      <c r="U17" s="70">
        <f>성적입력!E$4/계산도구!Y17</f>
        <v>0.71895424836601307</v>
      </c>
      <c r="V17" s="71">
        <f>성적입력!F$4/계산도구!Z17</f>
        <v>0.852112676056338</v>
      </c>
      <c r="W17" s="76"/>
      <c r="X17" s="171">
        <f t="shared" si="17"/>
        <v>140</v>
      </c>
      <c r="Y17" s="171">
        <f>IF(성적입력!$K$4="가형",AL$2,AM$2)</f>
        <v>153</v>
      </c>
      <c r="Z17" s="171">
        <f t="shared" si="16"/>
        <v>142</v>
      </c>
      <c r="AA17" s="39"/>
      <c r="AB17" s="60"/>
      <c r="AC17" s="42"/>
      <c r="AD17" s="1072">
        <v>0.2</v>
      </c>
      <c r="AE17" s="1073">
        <v>0.3</v>
      </c>
      <c r="AF17" s="1073">
        <v>0.2</v>
      </c>
      <c r="AG17" s="1074">
        <v>0.3</v>
      </c>
      <c r="AH17" s="42"/>
      <c r="AI17" s="656"/>
      <c r="AJ17" s="106"/>
      <c r="AK17" s="704"/>
      <c r="AL17" s="616"/>
      <c r="AM17" s="766"/>
      <c r="AN17" s="616"/>
      <c r="AO17" s="616"/>
      <c r="AP17" s="616"/>
      <c r="AQ17" s="616"/>
      <c r="AR17" s="616"/>
      <c r="AS17" s="616"/>
      <c r="AT17" s="616"/>
      <c r="AU17" s="616"/>
      <c r="AV17" s="705"/>
    </row>
    <row r="18" spans="1:49" s="93" customFormat="1" ht="14.25" thickBot="1">
      <c r="A18" s="882" t="s">
        <v>275</v>
      </c>
      <c r="B18" s="155" t="s">
        <v>143</v>
      </c>
      <c r="C18" s="83">
        <v>700</v>
      </c>
      <c r="D18" s="84">
        <f>T18*I18</f>
        <v>150</v>
      </c>
      <c r="E18" s="84">
        <f>U18*J18</f>
        <v>150.98039215686273</v>
      </c>
      <c r="F18" s="84">
        <f>V18*K18</f>
        <v>178.94366197183098</v>
      </c>
      <c r="G18" s="85">
        <f>M18*L18</f>
        <v>92.413949275362313</v>
      </c>
      <c r="H18" s="44"/>
      <c r="I18" s="86">
        <f t="shared" si="18"/>
        <v>175</v>
      </c>
      <c r="J18" s="87">
        <f t="shared" si="18"/>
        <v>210</v>
      </c>
      <c r="K18" s="87">
        <f t="shared" si="18"/>
        <v>210</v>
      </c>
      <c r="L18" s="120">
        <f t="shared" si="18"/>
        <v>105</v>
      </c>
      <c r="M18" s="776">
        <f>(LARGE($N18:$R18,1)+LARGE($N18:$R18,2))/2</f>
        <v>0.88013285024154586</v>
      </c>
      <c r="N18" s="86">
        <f>IF(성적입력!G$3=0,0,성적입력!G$4/HLOOKUP(성적입력!G$3,계산도구!$AO$1:$AV$3,2,FALSE))</f>
        <v>0.91304347826086951</v>
      </c>
      <c r="O18" s="87">
        <f>IF(성적입력!H$3=0,0,성적입력!H$4/HLOOKUP(성적입력!H$3,계산도구!$AO$1:$AV$3,2,FALSE))</f>
        <v>0.84722222222222221</v>
      </c>
      <c r="P18" s="88">
        <f>IF(성적입력!I$3=0,0,성적입력!I$4/HLOOKUP(성적입력!I$3,계산도구!$AO$1:$AV$3,2,FALSE))</f>
        <v>0.82666666666666666</v>
      </c>
      <c r="Q18" s="88">
        <f>IF(성적입력!J$3=0,0,성적입력!J$4/HLOOKUP(성적입력!J$3,계산도구!$AO$1:$AV$3,2,FALSE))</f>
        <v>0.50704225352112675</v>
      </c>
      <c r="R18" s="89"/>
      <c r="S18" s="44"/>
      <c r="T18" s="90">
        <f>성적입력!D$4/계산도구!X18</f>
        <v>0.8571428571428571</v>
      </c>
      <c r="U18" s="84">
        <f>성적입력!E$4/계산도구!Y18</f>
        <v>0.71895424836601307</v>
      </c>
      <c r="V18" s="85">
        <f>성적입력!F$4/계산도구!Z18</f>
        <v>0.852112676056338</v>
      </c>
      <c r="W18" s="91"/>
      <c r="X18" s="171">
        <f t="shared" si="17"/>
        <v>140</v>
      </c>
      <c r="Y18" s="171">
        <f>IF(성적입력!$K$4="가형",AL$2,AM$2)</f>
        <v>153</v>
      </c>
      <c r="Z18" s="171">
        <f t="shared" si="16"/>
        <v>142</v>
      </c>
      <c r="AA18" s="40"/>
      <c r="AB18" s="92"/>
      <c r="AC18" s="44"/>
      <c r="AD18" s="1075">
        <v>0.25</v>
      </c>
      <c r="AE18" s="1019">
        <v>0.3</v>
      </c>
      <c r="AF18" s="1019">
        <v>0.3</v>
      </c>
      <c r="AG18" s="1020">
        <v>0.15</v>
      </c>
      <c r="AH18" s="44"/>
      <c r="AI18" s="657"/>
      <c r="AJ18" s="82"/>
      <c r="AK18" s="35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62"/>
    </row>
    <row r="19" spans="1:49" s="78" customFormat="1">
      <c r="A19" s="883" t="s">
        <v>276</v>
      </c>
      <c r="B19" s="156" t="s">
        <v>46</v>
      </c>
      <c r="C19" s="98">
        <v>800</v>
      </c>
      <c r="D19" s="99"/>
      <c r="E19" s="99">
        <f>IF(성적입력!$K$4="나형",U19*J19,U19*J19*1.1)</f>
        <v>169.4</v>
      </c>
      <c r="F19" s="99">
        <f t="shared" si="2"/>
        <v>193.6</v>
      </c>
      <c r="G19" s="100">
        <f>M19</f>
        <v>136.52334754797442</v>
      </c>
      <c r="H19" s="38"/>
      <c r="I19" s="101"/>
      <c r="J19" s="102">
        <f t="shared" si="3"/>
        <v>280</v>
      </c>
      <c r="K19" s="102">
        <f t="shared" si="3"/>
        <v>320</v>
      </c>
      <c r="L19" s="119">
        <f t="shared" si="3"/>
        <v>200</v>
      </c>
      <c r="M19" s="181">
        <f>(LARGE(N19:R19,1)+LARGE(N19:R19,2))</f>
        <v>136.52334754797442</v>
      </c>
      <c r="N19" s="101">
        <f>IF(성적입력!G$3=0,0,75-(((101-성적입력!G$4)*(101-성적입력!G$5))/(HLOOKUP(성적입력!G$3,계산도구!$AO$1:$AV$3,2,FALSE)-HLOOKUP(성적입력!G$3,계산도구!$AO$1:$AV$3,3,FALSE)+25))*0.75)</f>
        <v>69.044776119402982</v>
      </c>
      <c r="O19" s="102">
        <f>IF(성적입력!H$3=0,0,75-(((101-성적입력!H$4)*(101-성적입력!H$5))/(HLOOKUP(성적입력!H$3,계산도구!$AO$1:$AV$3,2,FALSE)-HLOOKUP(성적입력!H$3,계산도구!$AO$1:$AV$3,3,FALSE)+25))*0.75)</f>
        <v>67.394366197183103</v>
      </c>
      <c r="P19" s="102">
        <f>IF(성적입력!I$3=0,0,75-(((101-성적입력!I$4)*(101-성적입력!I$5))/(HLOOKUP(성적입력!I$3,계산도구!$AO$1:$AV$3,2,FALSE)-HLOOKUP(성적입력!I$3,계산도구!$AO$1:$AV$3,3,FALSE)+25))*0.75)</f>
        <v>67.478571428571428</v>
      </c>
      <c r="Q19" s="102">
        <f>IF(성적입력!J$3=0,0,75-(((101-성적입력!J$4)*(101-성적입력!J$5))/(HLOOKUP(성적입력!J$3,계산도구!$AO$1:$AV$3,2,FALSE)-HLOOKUP(성적입력!J$3,계산도구!$AO$1:$AV$3,3,FALSE)+25))*0.75)</f>
        <v>0.3515625</v>
      </c>
      <c r="R19" s="119"/>
      <c r="S19" s="38"/>
      <c r="T19" s="103"/>
      <c r="U19" s="99">
        <f>성적입력!E$4/계산도구!Y19</f>
        <v>0.55000000000000004</v>
      </c>
      <c r="V19" s="100">
        <f>성적입력!F$4/계산도구!Z19</f>
        <v>0.60499999999999998</v>
      </c>
      <c r="W19" s="104"/>
      <c r="X19" s="98"/>
      <c r="Y19" s="98">
        <v>200</v>
      </c>
      <c r="Z19" s="98">
        <v>200</v>
      </c>
      <c r="AA19" s="105"/>
      <c r="AB19" s="97"/>
      <c r="AC19" s="38"/>
      <c r="AD19" s="1076"/>
      <c r="AE19" s="988">
        <v>0.35</v>
      </c>
      <c r="AF19" s="988">
        <v>0.4</v>
      </c>
      <c r="AG19" s="989">
        <v>0.25</v>
      </c>
      <c r="AH19" s="38"/>
      <c r="AJ19" s="677"/>
      <c r="AK19" s="704"/>
      <c r="AL19" s="616"/>
      <c r="AM19" s="766"/>
      <c r="AN19" s="616"/>
      <c r="AO19" s="105"/>
      <c r="AP19" s="105"/>
      <c r="AQ19" s="105"/>
      <c r="AR19" s="105"/>
      <c r="AS19" s="105"/>
      <c r="AT19" s="105"/>
      <c r="AU19" s="105"/>
      <c r="AV19" s="706"/>
    </row>
    <row r="20" spans="1:49" s="657" customFormat="1" ht="14.25" thickBot="1">
      <c r="A20" s="884" t="s">
        <v>279</v>
      </c>
      <c r="B20" s="155" t="s">
        <v>234</v>
      </c>
      <c r="C20" s="83">
        <v>800</v>
      </c>
      <c r="D20" s="84"/>
      <c r="E20" s="84">
        <f t="shared" ref="E20" si="19">U20*J20</f>
        <v>154</v>
      </c>
      <c r="F20" s="84">
        <f t="shared" ref="F20" si="20">V20*K20</f>
        <v>193.6</v>
      </c>
      <c r="G20" s="85">
        <f>M20</f>
        <v>136.52334754797442</v>
      </c>
      <c r="H20" s="44"/>
      <c r="I20" s="86"/>
      <c r="J20" s="87">
        <f t="shared" ref="J20" si="21">AE20*$C20</f>
        <v>280</v>
      </c>
      <c r="K20" s="87">
        <f t="shared" ref="K20" si="22">AF20*$C20</f>
        <v>320</v>
      </c>
      <c r="L20" s="120">
        <f t="shared" ref="L20" si="23">AG20*$C20</f>
        <v>200</v>
      </c>
      <c r="M20" s="180">
        <f>(LARGE(N20:R20,1)+LARGE(N20:R20,2))</f>
        <v>136.52334754797442</v>
      </c>
      <c r="N20" s="86">
        <f>IF(성적입력!G$3=0,0,75-(((101-성적입력!G$4)*(101-성적입력!G$5))/(HLOOKUP(성적입력!G$3,계산도구!$AO$1:$AV$3,2,FALSE)-HLOOKUP(성적입력!G$3,계산도구!$AO$1:$AV$3,3,FALSE)+25))*0.75)</f>
        <v>69.044776119402982</v>
      </c>
      <c r="O20" s="86">
        <f>IF(성적입력!H$3=0,0,75-(((101-성적입력!H$4)*(101-성적입력!H$5))/(HLOOKUP(성적입력!H$3,계산도구!$AO$1:$AV$3,2,FALSE)-HLOOKUP(성적입력!H$3,계산도구!$AO$1:$AV$3,3,FALSE)+25))*0.75)</f>
        <v>67.394366197183103</v>
      </c>
      <c r="P20" s="86">
        <f>IF(성적입력!I$3=0,0,75-(((101-성적입력!I$4)*(101-성적입력!I$5))/(HLOOKUP(성적입력!I$3,계산도구!$AO$1:$AV$3,2,FALSE)-HLOOKUP(성적입력!I$3,계산도구!$AO$1:$AV$3,3,FALSE)+25))*0.75)</f>
        <v>67.478571428571428</v>
      </c>
      <c r="Q20" s="86">
        <f>IF(성적입력!J$3=0,0,75-(((101-성적입력!J$4)*(101-성적입력!J$5))/(HLOOKUP(성적입력!J$3,계산도구!$AO$1:$AV$3,2,FALSE)-HLOOKUP(성적입력!J$3,계산도구!$AO$1:$AV$3,3,FALSE)+25))*0.75)</f>
        <v>0.3515625</v>
      </c>
      <c r="R20" s="120"/>
      <c r="S20" s="44"/>
      <c r="T20" s="90"/>
      <c r="U20" s="84">
        <f>성적입력!E$4/계산도구!Y20</f>
        <v>0.55000000000000004</v>
      </c>
      <c r="V20" s="85">
        <f>성적입력!F$4/계산도구!Z20</f>
        <v>0.60499999999999998</v>
      </c>
      <c r="W20" s="91"/>
      <c r="X20" s="83"/>
      <c r="Y20" s="83">
        <v>200</v>
      </c>
      <c r="Z20" s="83">
        <v>200</v>
      </c>
      <c r="AA20" s="40"/>
      <c r="AB20" s="92"/>
      <c r="AC20" s="44"/>
      <c r="AD20" s="1075"/>
      <c r="AE20" s="1019">
        <v>0.35</v>
      </c>
      <c r="AF20" s="1019">
        <v>0.4</v>
      </c>
      <c r="AG20" s="1020">
        <v>0.25</v>
      </c>
      <c r="AH20" s="44"/>
      <c r="AJ20" s="82"/>
      <c r="AK20" s="35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62"/>
    </row>
    <row r="21" spans="1:49" s="248" customFormat="1" ht="14.25" thickBot="1">
      <c r="A21" s="874" t="s">
        <v>54</v>
      </c>
      <c r="B21" s="234" t="s">
        <v>46</v>
      </c>
      <c r="C21" s="235">
        <v>700</v>
      </c>
      <c r="D21" s="236">
        <f t="shared" ref="D21:D26" si="24">T21*I21</f>
        <v>150</v>
      </c>
      <c r="E21" s="236">
        <f t="shared" si="2"/>
        <v>150.98039215686273</v>
      </c>
      <c r="F21" s="236">
        <f t="shared" si="2"/>
        <v>178.94366197183098</v>
      </c>
      <c r="G21" s="243">
        <f>M21*L21</f>
        <v>136.66457253886011</v>
      </c>
      <c r="H21" s="237"/>
      <c r="I21" s="238">
        <f t="shared" si="3"/>
        <v>175</v>
      </c>
      <c r="J21" s="239">
        <f t="shared" si="3"/>
        <v>210</v>
      </c>
      <c r="K21" s="239">
        <f t="shared" si="3"/>
        <v>210</v>
      </c>
      <c r="L21" s="240">
        <f t="shared" si="3"/>
        <v>105</v>
      </c>
      <c r="M21" s="595">
        <f>(LARGE(N21:R21,1)+LARGE(N21:R21,2))/2</f>
        <v>1.3015673575129534</v>
      </c>
      <c r="N21" s="238">
        <f>VLOOKUP(성적입력!G$5,보정점수표!$A$3:$M$103,8,FALSE)/$AA21</f>
        <v>1.3194559585492227</v>
      </c>
      <c r="O21" s="238">
        <f>VLOOKUP(성적입력!H$5,보정점수표!$A$3:$M$103,8,FALSE)/$AA21</f>
        <v>1.2836787564766838</v>
      </c>
      <c r="P21" s="238">
        <f>VLOOKUP(성적입력!I$5,보정점수표!$A$3:$M$103,8,FALSE)/$AA21</f>
        <v>1.2836787564766838</v>
      </c>
      <c r="Q21" s="238">
        <f>VLOOKUP(성적입력!J$5,보정점수표!$A$3:$M$103,8,FALSE)/$AA21</f>
        <v>0.41171428571428859</v>
      </c>
      <c r="R21" s="287"/>
      <c r="S21" s="237"/>
      <c r="T21" s="242">
        <f>성적입력!D$4/계산도구!X21</f>
        <v>0.8571428571428571</v>
      </c>
      <c r="U21" s="236">
        <f>성적입력!E$4/계산도구!Y21</f>
        <v>0.71895424836601307</v>
      </c>
      <c r="V21" s="243">
        <f>성적입력!F$4/계산도구!Z21</f>
        <v>0.852112676056338</v>
      </c>
      <c r="W21" s="244"/>
      <c r="X21" s="235">
        <f>AK$2</f>
        <v>140</v>
      </c>
      <c r="Y21" s="235">
        <f>IF(성적입력!$K$4="가형",AL$2,AM$2)</f>
        <v>153</v>
      </c>
      <c r="Z21" s="235">
        <f t="shared" ref="Z21" si="25">AN$2</f>
        <v>142</v>
      </c>
      <c r="AA21" s="245">
        <v>35</v>
      </c>
      <c r="AB21" s="246"/>
      <c r="AC21" s="237"/>
      <c r="AD21" s="1036">
        <v>0.25</v>
      </c>
      <c r="AE21" s="1045">
        <v>0.3</v>
      </c>
      <c r="AF21" s="1045">
        <v>0.3</v>
      </c>
      <c r="AG21" s="1037">
        <v>0.15</v>
      </c>
      <c r="AH21" s="237"/>
      <c r="AJ21" s="233"/>
      <c r="AK21" s="694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695"/>
    </row>
    <row r="22" spans="1:49" s="24" customFormat="1" ht="14.25" thickBot="1">
      <c r="A22" s="885" t="s">
        <v>55</v>
      </c>
      <c r="B22" s="501" t="s">
        <v>46</v>
      </c>
      <c r="C22" s="502">
        <v>700</v>
      </c>
      <c r="D22" s="503">
        <f t="shared" si="24"/>
        <v>84</v>
      </c>
      <c r="E22" s="503">
        <f t="shared" si="2"/>
        <v>115.50000000000001</v>
      </c>
      <c r="F22" s="503">
        <f t="shared" si="2"/>
        <v>127.05</v>
      </c>
      <c r="G22" s="504">
        <f>M22*L22</f>
        <v>87.941000000000003</v>
      </c>
      <c r="H22" s="505"/>
      <c r="I22" s="506">
        <f t="shared" si="3"/>
        <v>140</v>
      </c>
      <c r="J22" s="507">
        <f t="shared" si="3"/>
        <v>210</v>
      </c>
      <c r="K22" s="507">
        <f t="shared" si="3"/>
        <v>210</v>
      </c>
      <c r="L22" s="508">
        <f t="shared" ref="L22:L37" si="26">AG22*$C22</f>
        <v>140</v>
      </c>
      <c r="M22" s="524">
        <f>(ROUND((LARGE(N22:Q22,1)+LARGE(N22:Q22,2)),4))/AA22</f>
        <v>0.62814999999999999</v>
      </c>
      <c r="N22" s="506">
        <f>VLOOKUP(성적입력!G$5,보정점수표!$A$3:$M$103,9,FALSE)</f>
        <v>63.7</v>
      </c>
      <c r="O22" s="507">
        <f>VLOOKUP(성적입력!H$5,보정점수표!$A$3:$M$103,9,FALSE)</f>
        <v>61.93</v>
      </c>
      <c r="P22" s="507">
        <f>VLOOKUP(성적입력!I$5,보정점수표!$A$3:$M$103,9,FALSE)</f>
        <v>61.93</v>
      </c>
      <c r="Q22" s="507">
        <f>VLOOKUP(성적입력!J$5,보정점수표!$A$3:$M$103,9,FALSE)</f>
        <v>35.31</v>
      </c>
      <c r="R22" s="510"/>
      <c r="S22" s="505"/>
      <c r="T22" s="511">
        <f>성적입력!D$4/계산도구!X22</f>
        <v>0.6</v>
      </c>
      <c r="U22" s="503">
        <f>성적입력!E$4/계산도구!Y22</f>
        <v>0.55000000000000004</v>
      </c>
      <c r="V22" s="504">
        <f>성적입력!F$4/계산도구!Z22</f>
        <v>0.60499999999999998</v>
      </c>
      <c r="W22" s="512"/>
      <c r="X22" s="502">
        <v>200</v>
      </c>
      <c r="Y22" s="51">
        <v>200</v>
      </c>
      <c r="Z22" s="51">
        <v>200</v>
      </c>
      <c r="AA22" s="51">
        <v>200</v>
      </c>
      <c r="AB22" s="500"/>
      <c r="AC22" s="505"/>
      <c r="AD22" s="1077">
        <v>0.2</v>
      </c>
      <c r="AE22" s="1078">
        <v>0.3</v>
      </c>
      <c r="AF22" s="1079">
        <v>0.3</v>
      </c>
      <c r="AG22" s="1080">
        <v>0.2</v>
      </c>
      <c r="AH22" s="505"/>
      <c r="AJ22" s="47"/>
      <c r="AK22" s="52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3"/>
    </row>
    <row r="23" spans="1:49" s="499" customFormat="1">
      <c r="A23" s="886" t="s">
        <v>56</v>
      </c>
      <c r="B23" s="219" t="s">
        <v>46</v>
      </c>
      <c r="C23" s="220">
        <v>600</v>
      </c>
      <c r="D23" s="221">
        <f t="shared" si="24"/>
        <v>36</v>
      </c>
      <c r="E23" s="221">
        <f>U23*J23</f>
        <v>115.50000000000001</v>
      </c>
      <c r="F23" s="221">
        <f>V23*K23</f>
        <v>127.05</v>
      </c>
      <c r="G23" s="222">
        <f t="shared" ref="G23:G28" si="27">L23*M23</f>
        <v>75.39</v>
      </c>
      <c r="H23" s="223"/>
      <c r="I23" s="224">
        <f t="shared" ref="I23:K27" si="28">AD23*$C23</f>
        <v>60</v>
      </c>
      <c r="J23" s="225">
        <f t="shared" si="28"/>
        <v>210</v>
      </c>
      <c r="K23" s="225">
        <f t="shared" si="28"/>
        <v>210</v>
      </c>
      <c r="L23" s="226">
        <f t="shared" si="26"/>
        <v>120</v>
      </c>
      <c r="M23" s="513">
        <f>ROUND((LARGE(N23:R23,1)+LARGE(N23:R23,2)),4)/AA23</f>
        <v>0.62824999999999998</v>
      </c>
      <c r="N23" s="224">
        <f>VLOOKUP(성적입력!G$5,보정점수표!$A$3:$M$103,10,FALSE)</f>
        <v>63.71</v>
      </c>
      <c r="O23" s="225">
        <f>VLOOKUP(성적입력!H$5,보정점수표!$A$3:$M$103,10,FALSE)</f>
        <v>61.94</v>
      </c>
      <c r="P23" s="225">
        <f>VLOOKUP(성적입력!I$5,보정점수표!$A$3:$M$103,10,FALSE)</f>
        <v>61.94</v>
      </c>
      <c r="Q23" s="225">
        <f>VLOOKUP(성적입력!J$5,보정점수표!$A$3:$M$103,10,FALSE)</f>
        <v>35.31</v>
      </c>
      <c r="R23" s="226"/>
      <c r="S23" s="223"/>
      <c r="T23" s="227">
        <f>성적입력!D$4/계산도구!X23</f>
        <v>0.6</v>
      </c>
      <c r="U23" s="221">
        <f>성적입력!E$4/계산도구!Y23</f>
        <v>0.55000000000000004</v>
      </c>
      <c r="V23" s="222">
        <f>성적입력!F$4/계산도구!Z23</f>
        <v>0.60499999999999998</v>
      </c>
      <c r="W23" s="228"/>
      <c r="X23" s="220">
        <v>200</v>
      </c>
      <c r="Y23" s="229">
        <v>200</v>
      </c>
      <c r="Z23" s="229">
        <v>200</v>
      </c>
      <c r="AA23" s="229">
        <v>200</v>
      </c>
      <c r="AB23" s="230"/>
      <c r="AC23" s="223"/>
      <c r="AD23" s="1081">
        <v>0.1</v>
      </c>
      <c r="AE23" s="1082">
        <v>0.35</v>
      </c>
      <c r="AF23" s="1082">
        <v>0.35</v>
      </c>
      <c r="AG23" s="1083">
        <v>0.2</v>
      </c>
      <c r="AH23" s="223"/>
      <c r="AJ23" s="678"/>
      <c r="AK23" s="707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708"/>
    </row>
    <row r="24" spans="1:49" s="41" customFormat="1">
      <c r="A24" s="887" t="s">
        <v>277</v>
      </c>
      <c r="B24" s="515" t="s">
        <v>189</v>
      </c>
      <c r="C24" s="55">
        <v>600</v>
      </c>
      <c r="D24" s="516">
        <f t="shared" si="24"/>
        <v>36</v>
      </c>
      <c r="E24" s="516">
        <f>U24*J24*1.03</f>
        <v>118.96500000000002</v>
      </c>
      <c r="F24" s="516">
        <f>V24*K24</f>
        <v>127.05</v>
      </c>
      <c r="G24" s="517">
        <f t="shared" si="27"/>
        <v>75.39</v>
      </c>
      <c r="H24" s="129"/>
      <c r="I24" s="518">
        <f t="shared" si="28"/>
        <v>60</v>
      </c>
      <c r="J24" s="519">
        <f t="shared" si="28"/>
        <v>210</v>
      </c>
      <c r="K24" s="519">
        <f t="shared" si="28"/>
        <v>210</v>
      </c>
      <c r="L24" s="520">
        <f t="shared" si="26"/>
        <v>120</v>
      </c>
      <c r="M24" s="521">
        <f>ROUND((LARGE(N24:R24,1)+LARGE(N24:R24,2)),4)/AA24</f>
        <v>0.62824999999999998</v>
      </c>
      <c r="N24" s="518">
        <f>VLOOKUP(성적입력!G$5,보정점수표!$A$3:$M$103,10,FALSE)</f>
        <v>63.71</v>
      </c>
      <c r="O24" s="519">
        <f>VLOOKUP(성적입력!H$5,보정점수표!$A$3:$M$103,10,FALSE)</f>
        <v>61.94</v>
      </c>
      <c r="P24" s="519">
        <f>VLOOKUP(성적입력!I$5,보정점수표!$A$3:$M$103,10,FALSE)</f>
        <v>61.94</v>
      </c>
      <c r="Q24" s="519">
        <f>VLOOKUP(성적입력!J$5,보정점수표!$A$3:$M$103,10,FALSE)</f>
        <v>35.31</v>
      </c>
      <c r="R24" s="520"/>
      <c r="S24" s="129"/>
      <c r="T24" s="522">
        <f>성적입력!D$4/계산도구!X24</f>
        <v>0.6</v>
      </c>
      <c r="U24" s="516">
        <f>성적입력!E$4/계산도구!Y24</f>
        <v>0.55000000000000004</v>
      </c>
      <c r="V24" s="517">
        <f>성적입력!F$4/계산도구!Z24</f>
        <v>0.60499999999999998</v>
      </c>
      <c r="W24" s="523"/>
      <c r="X24" s="55">
        <v>200</v>
      </c>
      <c r="Y24" s="41">
        <v>200</v>
      </c>
      <c r="Z24" s="41">
        <v>200</v>
      </c>
      <c r="AA24" s="41">
        <v>200</v>
      </c>
      <c r="AB24" s="56"/>
      <c r="AC24" s="129"/>
      <c r="AD24" s="1084">
        <v>0.1</v>
      </c>
      <c r="AE24" s="1085">
        <v>0.35</v>
      </c>
      <c r="AF24" s="1085">
        <v>0.35</v>
      </c>
      <c r="AG24" s="1086">
        <v>0.2</v>
      </c>
      <c r="AH24" s="129"/>
      <c r="AI24" s="658"/>
      <c r="AJ24" s="679"/>
      <c r="AK24" s="57"/>
      <c r="AV24" s="49"/>
      <c r="AW24" s="55"/>
    </row>
    <row r="25" spans="1:49" s="24" customFormat="1">
      <c r="A25" s="878" t="s">
        <v>280</v>
      </c>
      <c r="B25" s="501" t="s">
        <v>190</v>
      </c>
      <c r="C25" s="502">
        <v>600</v>
      </c>
      <c r="D25" s="503">
        <f t="shared" si="24"/>
        <v>36</v>
      </c>
      <c r="E25" s="503">
        <f>U25*J25*1.1</f>
        <v>127.05000000000003</v>
      </c>
      <c r="F25" s="503">
        <f>V25*K25</f>
        <v>127.05</v>
      </c>
      <c r="G25" s="504">
        <f t="shared" si="27"/>
        <v>75.39</v>
      </c>
      <c r="H25" s="505"/>
      <c r="I25" s="506">
        <f t="shared" si="28"/>
        <v>60</v>
      </c>
      <c r="J25" s="507">
        <f t="shared" si="28"/>
        <v>210</v>
      </c>
      <c r="K25" s="507">
        <f t="shared" si="28"/>
        <v>210</v>
      </c>
      <c r="L25" s="508">
        <f t="shared" si="26"/>
        <v>120</v>
      </c>
      <c r="M25" s="524">
        <f>ROUND((LARGE(N25:R25,1)+LARGE(N25:R25,2)),4)/AA25</f>
        <v>0.62824999999999998</v>
      </c>
      <c r="N25" s="506">
        <f>VLOOKUP(성적입력!G$5,보정점수표!$A$3:$M$103,10,FALSE)</f>
        <v>63.71</v>
      </c>
      <c r="O25" s="507">
        <f>VLOOKUP(성적입력!H$5,보정점수표!$A$3:$M$103,10,FALSE)</f>
        <v>61.94</v>
      </c>
      <c r="P25" s="507">
        <f>VLOOKUP(성적입력!I$5,보정점수표!$A$3:$M$103,10,FALSE)</f>
        <v>61.94</v>
      </c>
      <c r="Q25" s="507">
        <f>VLOOKUP(성적입력!J$5,보정점수표!$A$3:$M$103,10,FALSE)</f>
        <v>35.31</v>
      </c>
      <c r="R25" s="508"/>
      <c r="S25" s="505"/>
      <c r="T25" s="511">
        <f>성적입력!D$4/계산도구!X25</f>
        <v>0.6</v>
      </c>
      <c r="U25" s="503">
        <f>성적입력!E$4/계산도구!Y25</f>
        <v>0.55000000000000004</v>
      </c>
      <c r="V25" s="504">
        <f>성적입력!F$4/계산도구!Z25</f>
        <v>0.60499999999999998</v>
      </c>
      <c r="W25" s="512"/>
      <c r="X25" s="502">
        <v>200</v>
      </c>
      <c r="Y25" s="51">
        <v>200</v>
      </c>
      <c r="Z25" s="51">
        <v>200</v>
      </c>
      <c r="AA25" s="51">
        <v>200</v>
      </c>
      <c r="AB25" s="500"/>
      <c r="AC25" s="505"/>
      <c r="AD25" s="1055">
        <v>0.1</v>
      </c>
      <c r="AE25" s="1056">
        <v>0.35</v>
      </c>
      <c r="AF25" s="1056">
        <v>0.35</v>
      </c>
      <c r="AG25" s="1057">
        <v>0.2</v>
      </c>
      <c r="AH25" s="505"/>
      <c r="AJ25" s="47"/>
      <c r="AK25" s="52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3"/>
    </row>
    <row r="26" spans="1:49" s="534" customFormat="1" ht="14.25" thickBot="1">
      <c r="A26" s="888" t="s">
        <v>281</v>
      </c>
      <c r="B26" s="525" t="s">
        <v>191</v>
      </c>
      <c r="C26" s="28">
        <v>600</v>
      </c>
      <c r="D26" s="526">
        <f t="shared" si="24"/>
        <v>36</v>
      </c>
      <c r="E26" s="526">
        <f>U26*J26*1.15</f>
        <v>132.82500000000002</v>
      </c>
      <c r="F26" s="526">
        <f>V26*K26</f>
        <v>127.05</v>
      </c>
      <c r="G26" s="527">
        <f t="shared" si="27"/>
        <v>75.39</v>
      </c>
      <c r="H26" s="130"/>
      <c r="I26" s="528">
        <f t="shared" si="28"/>
        <v>60</v>
      </c>
      <c r="J26" s="529">
        <f t="shared" si="28"/>
        <v>210</v>
      </c>
      <c r="K26" s="529">
        <f t="shared" si="28"/>
        <v>210</v>
      </c>
      <c r="L26" s="530">
        <f t="shared" si="26"/>
        <v>120</v>
      </c>
      <c r="M26" s="531">
        <f>ROUND((LARGE(N26:R26,1)+LARGE(N26:R26,2)),4)/AA26</f>
        <v>0.62824999999999998</v>
      </c>
      <c r="N26" s="528">
        <f>VLOOKUP(성적입력!G$5,보정점수표!$A$3:$M$103,10,FALSE)</f>
        <v>63.71</v>
      </c>
      <c r="O26" s="529">
        <f>VLOOKUP(성적입력!H$5,보정점수표!$A$3:$M$103,10,FALSE)</f>
        <v>61.94</v>
      </c>
      <c r="P26" s="529">
        <f>VLOOKUP(성적입력!I$5,보정점수표!$A$3:$M$103,10,FALSE)</f>
        <v>61.94</v>
      </c>
      <c r="Q26" s="529">
        <f>VLOOKUP(성적입력!J$5,보정점수표!$A$3:$M$103,10,FALSE)</f>
        <v>35.31</v>
      </c>
      <c r="R26" s="530"/>
      <c r="S26" s="130"/>
      <c r="T26" s="532">
        <f>성적입력!D$4/계산도구!X26</f>
        <v>0.6</v>
      </c>
      <c r="U26" s="526">
        <f>성적입력!E$4/계산도구!Y26</f>
        <v>0.55000000000000004</v>
      </c>
      <c r="V26" s="527">
        <f>성적입력!F$4/계산도구!Z26</f>
        <v>0.60499999999999998</v>
      </c>
      <c r="W26" s="533"/>
      <c r="X26" s="28">
        <v>200</v>
      </c>
      <c r="Y26" s="29">
        <v>200</v>
      </c>
      <c r="Z26" s="29">
        <v>200</v>
      </c>
      <c r="AA26" s="29">
        <v>200</v>
      </c>
      <c r="AB26" s="30"/>
      <c r="AC26" s="130"/>
      <c r="AD26" s="1087">
        <v>0.1</v>
      </c>
      <c r="AE26" s="1088">
        <v>0.35</v>
      </c>
      <c r="AF26" s="1088">
        <v>0.35</v>
      </c>
      <c r="AG26" s="1089">
        <v>0.2</v>
      </c>
      <c r="AH26" s="130"/>
      <c r="AI26" s="659"/>
      <c r="AJ26" s="680"/>
      <c r="AK26" s="58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50"/>
    </row>
    <row r="27" spans="1:49" s="286" customFormat="1">
      <c r="A27" s="889" t="s">
        <v>57</v>
      </c>
      <c r="B27" s="289" t="s">
        <v>196</v>
      </c>
      <c r="C27" s="436">
        <v>800</v>
      </c>
      <c r="D27" s="440">
        <f>IF(T27&gt;=V27,T27*I27,0)</f>
        <v>221.33333333333329</v>
      </c>
      <c r="E27" s="440">
        <f>U27*J27</f>
        <v>173.33333333333331</v>
      </c>
      <c r="F27" s="440">
        <f>IF(V27&gt;T27,V27*K27,0)</f>
        <v>0</v>
      </c>
      <c r="G27" s="450">
        <f t="shared" si="27"/>
        <v>226.66666666666663</v>
      </c>
      <c r="H27" s="451"/>
      <c r="I27" s="444">
        <f t="shared" si="28"/>
        <v>266.66666666666663</v>
      </c>
      <c r="J27" s="445">
        <f t="shared" si="28"/>
        <v>266.66666666666663</v>
      </c>
      <c r="K27" s="445">
        <f t="shared" si="28"/>
        <v>266.66666666666663</v>
      </c>
      <c r="L27" s="446">
        <f t="shared" si="26"/>
        <v>266.66666666666663</v>
      </c>
      <c r="M27" s="438">
        <f>(LARGE(N27:R27,1)+LARGE(N27:R27,2))/2</f>
        <v>0.85</v>
      </c>
      <c r="N27" s="294">
        <f>성적입력!G$5/계산도구!$AA27</f>
        <v>0.87</v>
      </c>
      <c r="O27" s="295">
        <f>성적입력!H$5/계산도구!$AA27</f>
        <v>0.83</v>
      </c>
      <c r="P27" s="296">
        <f>성적입력!I$5/계산도구!$AA27</f>
        <v>0.83</v>
      </c>
      <c r="Q27" s="296">
        <f>성적입력!J$5/계산도구!$AA27</f>
        <v>0.03</v>
      </c>
      <c r="R27" s="297"/>
      <c r="S27" s="293"/>
      <c r="T27" s="298">
        <f>성적입력!D$5/계산도구!X27</f>
        <v>0.83</v>
      </c>
      <c r="U27" s="291">
        <f>성적입력!E$5/계산도구!Y27</f>
        <v>0.65</v>
      </c>
      <c r="V27" s="292">
        <f>성적입력!F$5/계산도구!Z27</f>
        <v>0.82</v>
      </c>
      <c r="W27" s="299"/>
      <c r="X27" s="290">
        <v>100</v>
      </c>
      <c r="Y27" s="300">
        <v>100</v>
      </c>
      <c r="Z27" s="300">
        <v>100</v>
      </c>
      <c r="AA27" s="300">
        <v>100</v>
      </c>
      <c r="AB27" s="288"/>
      <c r="AC27" s="293"/>
      <c r="AD27" s="1090">
        <f>1/3</f>
        <v>0.33333333333333331</v>
      </c>
      <c r="AE27" s="1091">
        <f>1/3</f>
        <v>0.33333333333333331</v>
      </c>
      <c r="AF27" s="1091">
        <f>1/3</f>
        <v>0.33333333333333331</v>
      </c>
      <c r="AG27" s="1092">
        <f>1/3</f>
        <v>0.33333333333333331</v>
      </c>
      <c r="AH27" s="442"/>
      <c r="AI27" s="660"/>
      <c r="AJ27" s="681"/>
      <c r="AK27" s="709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710"/>
    </row>
    <row r="28" spans="1:49" s="286" customFormat="1" ht="14.25" thickBot="1">
      <c r="A28" s="890" t="s">
        <v>58</v>
      </c>
      <c r="B28" s="302" t="s">
        <v>197</v>
      </c>
      <c r="C28" s="437">
        <v>1000</v>
      </c>
      <c r="D28" s="441"/>
      <c r="E28" s="440">
        <f>U28*J28</f>
        <v>325</v>
      </c>
      <c r="F28" s="441"/>
      <c r="G28" s="450">
        <f t="shared" si="27"/>
        <v>425</v>
      </c>
      <c r="H28" s="452"/>
      <c r="I28" s="447"/>
      <c r="J28" s="448">
        <f t="shared" ref="J28:J37" si="29">AE28*$C28</f>
        <v>500</v>
      </c>
      <c r="K28" s="448"/>
      <c r="L28" s="449">
        <f t="shared" si="26"/>
        <v>500</v>
      </c>
      <c r="M28" s="439">
        <f>(LARGE(N28:R28,1)+LARGE(N28:R28,2))/2</f>
        <v>0.85</v>
      </c>
      <c r="N28" s="306">
        <f>성적입력!G$5/계산도구!$AA28</f>
        <v>0.87</v>
      </c>
      <c r="O28" s="307">
        <f>성적입력!H$5/계산도구!$AA28</f>
        <v>0.83</v>
      </c>
      <c r="P28" s="310">
        <f>성적입력!I$5/계산도구!$AA28</f>
        <v>0.83</v>
      </c>
      <c r="Q28" s="310">
        <f>성적입력!J$5/계산도구!$AA28</f>
        <v>0.03</v>
      </c>
      <c r="R28" s="311"/>
      <c r="S28" s="305"/>
      <c r="T28" s="312">
        <f>성적입력!D$5/계산도구!X28</f>
        <v>0.83</v>
      </c>
      <c r="U28" s="304">
        <f>성적입력!E$5/계산도구!Y28</f>
        <v>0.65</v>
      </c>
      <c r="V28" s="313">
        <f>성적입력!F$5/계산도구!Z28</f>
        <v>0.82</v>
      </c>
      <c r="W28" s="314">
        <f>M28</f>
        <v>0.85</v>
      </c>
      <c r="X28" s="303">
        <v>100</v>
      </c>
      <c r="Y28" s="315">
        <v>100</v>
      </c>
      <c r="Z28" s="315">
        <v>100</v>
      </c>
      <c r="AA28" s="315">
        <v>100</v>
      </c>
      <c r="AB28" s="301"/>
      <c r="AC28" s="305"/>
      <c r="AD28" s="1066">
        <v>0</v>
      </c>
      <c r="AE28" s="1067">
        <v>0.5</v>
      </c>
      <c r="AF28" s="1067">
        <v>0</v>
      </c>
      <c r="AG28" s="1068">
        <v>0.5</v>
      </c>
      <c r="AH28" s="443"/>
      <c r="AI28" s="661"/>
      <c r="AJ28" s="399"/>
      <c r="AK28" s="711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712"/>
    </row>
    <row r="29" spans="1:49" s="274" customFormat="1" ht="14.25" thickBot="1">
      <c r="A29" s="879" t="s">
        <v>282</v>
      </c>
      <c r="B29" s="316" t="s">
        <v>138</v>
      </c>
      <c r="C29" s="317">
        <v>600</v>
      </c>
      <c r="D29" s="265">
        <f>IF(T29&gt;=V29,T29*I29,0)</f>
        <v>149.4</v>
      </c>
      <c r="E29" s="265">
        <f>U29*J29</f>
        <v>156</v>
      </c>
      <c r="F29" s="265">
        <f>IF(V29&gt;T29,V29*K29,0)</f>
        <v>0</v>
      </c>
      <c r="G29" s="266">
        <f t="shared" ref="G29" si="30">L29*M29</f>
        <v>153</v>
      </c>
      <c r="H29" s="131"/>
      <c r="I29" s="267">
        <f t="shared" ref="I29:I37" si="31">AD29*$C29</f>
        <v>180</v>
      </c>
      <c r="J29" s="268">
        <f t="shared" si="29"/>
        <v>240</v>
      </c>
      <c r="K29" s="268">
        <f t="shared" ref="K29:K37" si="32">AF29*$C29</f>
        <v>180</v>
      </c>
      <c r="L29" s="269">
        <f t="shared" si="26"/>
        <v>180</v>
      </c>
      <c r="M29" s="404">
        <f>(LARGE(N29:Q29,1)+LARGE(N29:Q29,2))/2</f>
        <v>0.85</v>
      </c>
      <c r="N29" s="267">
        <f>성적입력!G$5/계산도구!$AA29</f>
        <v>0.87</v>
      </c>
      <c r="O29" s="268">
        <f>성적입력!H$5/계산도구!$AA29</f>
        <v>0.83</v>
      </c>
      <c r="P29" s="318">
        <f>성적입력!I$5/계산도구!$AA29</f>
        <v>0.83</v>
      </c>
      <c r="Q29" s="318">
        <f>성적입력!J$5/계산도구!$AA29</f>
        <v>0.03</v>
      </c>
      <c r="R29" s="271"/>
      <c r="S29" s="131"/>
      <c r="T29" s="272">
        <f>성적입력!D$5/계산도구!X29</f>
        <v>0.83</v>
      </c>
      <c r="U29" s="265">
        <f>성적입력!E$5/계산도구!Y29</f>
        <v>0.65</v>
      </c>
      <c r="V29" s="266">
        <f>성적입력!F$5/계산도구!Z29</f>
        <v>0.82</v>
      </c>
      <c r="W29" s="273"/>
      <c r="X29" s="132">
        <v>100</v>
      </c>
      <c r="Y29" s="133">
        <v>100</v>
      </c>
      <c r="Z29" s="133">
        <v>100</v>
      </c>
      <c r="AA29" s="133">
        <v>100</v>
      </c>
      <c r="AB29" s="134"/>
      <c r="AC29" s="131"/>
      <c r="AD29" s="1060">
        <v>0.3</v>
      </c>
      <c r="AE29" s="1061">
        <v>0.4</v>
      </c>
      <c r="AF29" s="1061">
        <v>0.3</v>
      </c>
      <c r="AG29" s="1062">
        <v>0.3</v>
      </c>
      <c r="AH29" s="131"/>
      <c r="AI29" s="654"/>
      <c r="AJ29" s="675"/>
      <c r="AK29" s="700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701"/>
    </row>
    <row r="30" spans="1:49" s="333" customFormat="1" ht="14.25" thickBot="1">
      <c r="A30" s="891" t="s">
        <v>59</v>
      </c>
      <c r="B30" s="319" t="s">
        <v>46</v>
      </c>
      <c r="C30" s="320">
        <v>700</v>
      </c>
      <c r="D30" s="321">
        <f t="shared" ref="D30:F38" si="33">T30*I30</f>
        <v>58.099999999999994</v>
      </c>
      <c r="E30" s="322">
        <f>IF(성적입력!$K$4="나형",U30*J30,U30*J30*1.1)</f>
        <v>175.17500000000001</v>
      </c>
      <c r="F30" s="321">
        <f t="shared" si="33"/>
        <v>172.2</v>
      </c>
      <c r="G30" s="323">
        <f>M30*L30</f>
        <v>148.75</v>
      </c>
      <c r="H30" s="324"/>
      <c r="I30" s="325">
        <f t="shared" si="31"/>
        <v>70</v>
      </c>
      <c r="J30" s="326">
        <f t="shared" si="29"/>
        <v>244.99999999999997</v>
      </c>
      <c r="K30" s="326">
        <f t="shared" si="32"/>
        <v>210</v>
      </c>
      <c r="L30" s="327">
        <f t="shared" si="26"/>
        <v>175</v>
      </c>
      <c r="M30" s="328">
        <f t="shared" ref="M30:M36" si="34">(LARGE(N30:R30,1)+LARGE(N30:R30,2))/2</f>
        <v>0.85</v>
      </c>
      <c r="N30" s="325">
        <f>성적입력!G$5/계산도구!$AA30</f>
        <v>0.87</v>
      </c>
      <c r="O30" s="326">
        <f>성적입력!H$5/계산도구!$AA30</f>
        <v>0.83</v>
      </c>
      <c r="P30" s="329">
        <f>성적입력!I$5/계산도구!$AA30</f>
        <v>0.83</v>
      </c>
      <c r="Q30" s="329">
        <f>성적입력!J$5/계산도구!$AA30</f>
        <v>0.03</v>
      </c>
      <c r="R30" s="330"/>
      <c r="S30" s="324"/>
      <c r="T30" s="331">
        <f>성적입력!D$5/계산도구!X30</f>
        <v>0.83</v>
      </c>
      <c r="U30" s="321">
        <f>성적입력!E$5/계산도구!Y30</f>
        <v>0.65</v>
      </c>
      <c r="V30" s="323">
        <f>성적입력!F$5/계산도구!Z30</f>
        <v>0.82</v>
      </c>
      <c r="W30" s="332"/>
      <c r="X30" s="320">
        <v>100</v>
      </c>
      <c r="Y30" s="333">
        <v>100</v>
      </c>
      <c r="Z30" s="333">
        <v>100</v>
      </c>
      <c r="AA30" s="333">
        <v>100</v>
      </c>
      <c r="AB30" s="334"/>
      <c r="AC30" s="324"/>
      <c r="AD30" s="1093">
        <v>0.1</v>
      </c>
      <c r="AE30" s="1094">
        <v>0.35</v>
      </c>
      <c r="AF30" s="1094">
        <v>0.3</v>
      </c>
      <c r="AG30" s="1095">
        <v>0.25</v>
      </c>
      <c r="AH30" s="324" t="s">
        <v>217</v>
      </c>
      <c r="AI30" s="274"/>
      <c r="AJ30" s="335"/>
      <c r="AK30" s="713"/>
      <c r="AV30" s="714"/>
      <c r="AW30" s="320"/>
    </row>
    <row r="31" spans="1:49" s="333" customFormat="1">
      <c r="A31" s="891" t="s">
        <v>278</v>
      </c>
      <c r="B31" s="401" t="s">
        <v>185</v>
      </c>
      <c r="C31" s="320">
        <v>700</v>
      </c>
      <c r="D31" s="321">
        <f t="shared" si="33"/>
        <v>116.19999999999999</v>
      </c>
      <c r="E31" s="304">
        <f>IF(성적입력!$K$4="나형",U31*J31,U31*J31*1.1)</f>
        <v>150.15</v>
      </c>
      <c r="F31" s="321">
        <f t="shared" si="33"/>
        <v>172.2</v>
      </c>
      <c r="G31" s="402">
        <f>M31*L31*1.1</f>
        <v>130.9</v>
      </c>
      <c r="H31" s="324"/>
      <c r="I31" s="325">
        <f t="shared" si="31"/>
        <v>140</v>
      </c>
      <c r="J31" s="326">
        <f t="shared" si="29"/>
        <v>210</v>
      </c>
      <c r="K31" s="326">
        <f t="shared" si="32"/>
        <v>210</v>
      </c>
      <c r="L31" s="327">
        <f t="shared" si="26"/>
        <v>140</v>
      </c>
      <c r="M31" s="328">
        <f t="shared" si="34"/>
        <v>0.85</v>
      </c>
      <c r="N31" s="325">
        <f>성적입력!G$5/계산도구!$AA31</f>
        <v>0.87</v>
      </c>
      <c r="O31" s="326">
        <f>성적입력!H$5/계산도구!$AA31</f>
        <v>0.83</v>
      </c>
      <c r="P31" s="329">
        <f>성적입력!I$5/계산도구!$AA31</f>
        <v>0.83</v>
      </c>
      <c r="Q31" s="329">
        <f>성적입력!J$5/계산도구!$AA31</f>
        <v>0.03</v>
      </c>
      <c r="R31" s="330"/>
      <c r="S31" s="324"/>
      <c r="T31" s="331">
        <f>성적입력!D$5/계산도구!X31</f>
        <v>0.83</v>
      </c>
      <c r="U31" s="321">
        <f>성적입력!E$5/계산도구!Y31</f>
        <v>0.65</v>
      </c>
      <c r="V31" s="323">
        <f>성적입력!F$5/계산도구!Z31</f>
        <v>0.82</v>
      </c>
      <c r="W31" s="332"/>
      <c r="X31" s="320">
        <v>100</v>
      </c>
      <c r="Y31" s="333">
        <v>100</v>
      </c>
      <c r="Z31" s="333">
        <v>100</v>
      </c>
      <c r="AA31" s="333">
        <v>100</v>
      </c>
      <c r="AB31" s="334"/>
      <c r="AC31" s="324"/>
      <c r="AD31" s="1096">
        <v>0.2</v>
      </c>
      <c r="AE31" s="963">
        <v>0.3</v>
      </c>
      <c r="AF31" s="963">
        <v>0.3</v>
      </c>
      <c r="AG31" s="964">
        <v>0.2</v>
      </c>
      <c r="AH31" s="324" t="s">
        <v>186</v>
      </c>
      <c r="AI31" s="274" t="s">
        <v>188</v>
      </c>
      <c r="AJ31" s="335"/>
      <c r="AK31" s="713"/>
      <c r="AV31" s="714"/>
      <c r="AW31" s="320"/>
    </row>
    <row r="32" spans="1:49" s="315" customFormat="1">
      <c r="A32" s="892" t="s">
        <v>283</v>
      </c>
      <c r="B32" s="302" t="s">
        <v>184</v>
      </c>
      <c r="C32" s="303">
        <v>700</v>
      </c>
      <c r="D32" s="304">
        <f>T32*I32</f>
        <v>116.19999999999999</v>
      </c>
      <c r="E32" s="304">
        <f>IF(성적입력!$K$4="나형",U32*J32,U32*J32*1.1)</f>
        <v>150.15</v>
      </c>
      <c r="F32" s="304">
        <f>V32*K32</f>
        <v>172.2</v>
      </c>
      <c r="G32" s="403">
        <f>M32*L32*1.05</f>
        <v>124.95</v>
      </c>
      <c r="H32" s="305"/>
      <c r="I32" s="306">
        <f t="shared" si="31"/>
        <v>140</v>
      </c>
      <c r="J32" s="307">
        <f t="shared" si="29"/>
        <v>210</v>
      </c>
      <c r="K32" s="307">
        <f t="shared" si="32"/>
        <v>210</v>
      </c>
      <c r="L32" s="308">
        <f t="shared" si="26"/>
        <v>140</v>
      </c>
      <c r="M32" s="309">
        <f>(LARGE(N32:R32,1)+LARGE(N32:R32,2))/2</f>
        <v>0.85</v>
      </c>
      <c r="N32" s="306">
        <f>성적입력!G$5/계산도구!$AA32</f>
        <v>0.87</v>
      </c>
      <c r="O32" s="307">
        <f>성적입력!H$5/계산도구!$AA32</f>
        <v>0.83</v>
      </c>
      <c r="P32" s="310">
        <f>성적입력!I$5/계산도구!$AA32</f>
        <v>0.83</v>
      </c>
      <c r="Q32" s="310">
        <f>성적입력!J$5/계산도구!$AA32</f>
        <v>0.03</v>
      </c>
      <c r="R32" s="311"/>
      <c r="S32" s="305"/>
      <c r="T32" s="312">
        <f>성적입력!D$5/계산도구!X32</f>
        <v>0.83</v>
      </c>
      <c r="U32" s="304">
        <f>성적입력!E$5/계산도구!Y32</f>
        <v>0.65</v>
      </c>
      <c r="V32" s="313">
        <f>성적입력!F$5/계산도구!Z32</f>
        <v>0.82</v>
      </c>
      <c r="W32" s="314"/>
      <c r="X32" s="303">
        <v>100</v>
      </c>
      <c r="Y32" s="315">
        <v>100</v>
      </c>
      <c r="Z32" s="315">
        <v>100</v>
      </c>
      <c r="AA32" s="315">
        <v>100</v>
      </c>
      <c r="AB32" s="301"/>
      <c r="AC32" s="305"/>
      <c r="AD32" s="1066">
        <v>0.2</v>
      </c>
      <c r="AE32" s="1067">
        <v>0.3</v>
      </c>
      <c r="AF32" s="1067">
        <v>0.3</v>
      </c>
      <c r="AG32" s="1068">
        <v>0.2</v>
      </c>
      <c r="AH32" s="305" t="s">
        <v>186</v>
      </c>
      <c r="AI32" s="661" t="s">
        <v>187</v>
      </c>
      <c r="AJ32" s="399"/>
      <c r="AK32" s="711"/>
      <c r="AV32" s="712"/>
      <c r="AW32" s="303"/>
    </row>
    <row r="33" spans="1:49" s="315" customFormat="1" ht="14.25" thickBot="1">
      <c r="A33" s="892" t="s">
        <v>284</v>
      </c>
      <c r="B33" s="302" t="s">
        <v>183</v>
      </c>
      <c r="C33" s="303">
        <v>700</v>
      </c>
      <c r="D33" s="304">
        <f>T33*I33</f>
        <v>116.19999999999999</v>
      </c>
      <c r="E33" s="304">
        <f t="shared" si="33"/>
        <v>136.5</v>
      </c>
      <c r="F33" s="304">
        <f>V33*K33</f>
        <v>172.2</v>
      </c>
      <c r="G33" s="403">
        <f>M33*L33*1.1</f>
        <v>130.9</v>
      </c>
      <c r="H33" s="305"/>
      <c r="I33" s="306">
        <f t="shared" si="31"/>
        <v>140</v>
      </c>
      <c r="J33" s="307">
        <f t="shared" si="29"/>
        <v>210</v>
      </c>
      <c r="K33" s="307">
        <f t="shared" si="32"/>
        <v>210</v>
      </c>
      <c r="L33" s="308">
        <f t="shared" si="26"/>
        <v>140</v>
      </c>
      <c r="M33" s="309">
        <f>(LARGE(N33:R33,1)+LARGE(N33:R33,2))/2</f>
        <v>0.85</v>
      </c>
      <c r="N33" s="306">
        <f>성적입력!G$5/계산도구!$AA33</f>
        <v>0.87</v>
      </c>
      <c r="O33" s="307">
        <f>성적입력!H$5/계산도구!$AA33</f>
        <v>0.83</v>
      </c>
      <c r="P33" s="310">
        <f>성적입력!I$5/계산도구!$AA33</f>
        <v>0.83</v>
      </c>
      <c r="Q33" s="310">
        <f>성적입력!J$5/계산도구!$AA33</f>
        <v>0.03</v>
      </c>
      <c r="R33" s="311"/>
      <c r="S33" s="305"/>
      <c r="T33" s="312">
        <f>성적입력!D$5/계산도구!X33</f>
        <v>0.83</v>
      </c>
      <c r="U33" s="304">
        <f>성적입력!E$5/계산도구!Y33</f>
        <v>0.65</v>
      </c>
      <c r="V33" s="313">
        <f>성적입력!F$5/계산도구!Z33</f>
        <v>0.82</v>
      </c>
      <c r="W33" s="314"/>
      <c r="X33" s="303">
        <v>100</v>
      </c>
      <c r="Y33" s="315">
        <v>100</v>
      </c>
      <c r="Z33" s="315">
        <v>100</v>
      </c>
      <c r="AA33" s="315">
        <v>100</v>
      </c>
      <c r="AB33" s="301"/>
      <c r="AC33" s="305"/>
      <c r="AD33" s="1066">
        <v>0.2</v>
      </c>
      <c r="AE33" s="1067">
        <v>0.3</v>
      </c>
      <c r="AF33" s="1067">
        <v>0.3</v>
      </c>
      <c r="AG33" s="1068">
        <v>0.2</v>
      </c>
      <c r="AH33" s="305"/>
      <c r="AI33" s="661" t="s">
        <v>188</v>
      </c>
      <c r="AJ33" s="399"/>
      <c r="AK33" s="711"/>
      <c r="AV33" s="712"/>
      <c r="AW33" s="303"/>
    </row>
    <row r="34" spans="1:49" s="333" customFormat="1">
      <c r="A34" s="891" t="s">
        <v>285</v>
      </c>
      <c r="B34" s="319" t="s">
        <v>46</v>
      </c>
      <c r="C34" s="320">
        <v>700</v>
      </c>
      <c r="D34" s="321">
        <f t="shared" si="33"/>
        <v>87.149999999999991</v>
      </c>
      <c r="E34" s="321">
        <f>U34*J34+IF(성적입력!K4="가형",(U34*8),0)</f>
        <v>164.45</v>
      </c>
      <c r="F34" s="321">
        <f t="shared" si="33"/>
        <v>200.89999999999998</v>
      </c>
      <c r="G34" s="323">
        <f>M34*L34+(M34*8)</f>
        <v>96.05</v>
      </c>
      <c r="H34" s="324"/>
      <c r="I34" s="325">
        <f t="shared" si="31"/>
        <v>105</v>
      </c>
      <c r="J34" s="326">
        <f t="shared" si="29"/>
        <v>244.99999999999997</v>
      </c>
      <c r="K34" s="326">
        <f t="shared" si="32"/>
        <v>244.99999999999997</v>
      </c>
      <c r="L34" s="327">
        <f t="shared" si="26"/>
        <v>105</v>
      </c>
      <c r="M34" s="328">
        <f t="shared" si="34"/>
        <v>0.85</v>
      </c>
      <c r="N34" s="325">
        <f>성적입력!G$5/계산도구!$AA34</f>
        <v>0.87</v>
      </c>
      <c r="O34" s="326">
        <f>성적입력!H$5/계산도구!$AA34</f>
        <v>0.83</v>
      </c>
      <c r="P34" s="329">
        <f>성적입력!I$5/계산도구!$AA34</f>
        <v>0.83</v>
      </c>
      <c r="Q34" s="329">
        <f>성적입력!J$5/계산도구!$AA34</f>
        <v>0.03</v>
      </c>
      <c r="R34" s="330"/>
      <c r="S34" s="324"/>
      <c r="T34" s="331">
        <f>성적입력!D$5/계산도구!X34</f>
        <v>0.83</v>
      </c>
      <c r="U34" s="321">
        <f>성적입력!E$5/계산도구!Y34</f>
        <v>0.65</v>
      </c>
      <c r="V34" s="323">
        <f>성적입력!F$5/계산도구!Z34</f>
        <v>0.82</v>
      </c>
      <c r="W34" s="332"/>
      <c r="X34" s="320">
        <v>100</v>
      </c>
      <c r="Y34" s="333">
        <v>100</v>
      </c>
      <c r="Z34" s="333">
        <v>100</v>
      </c>
      <c r="AA34" s="333">
        <v>100</v>
      </c>
      <c r="AB34" s="334"/>
      <c r="AC34" s="324"/>
      <c r="AD34" s="1093">
        <v>0.15</v>
      </c>
      <c r="AE34" s="1094">
        <v>0.35</v>
      </c>
      <c r="AF34" s="1094">
        <v>0.35</v>
      </c>
      <c r="AG34" s="1095">
        <v>0.15</v>
      </c>
      <c r="AH34" s="324" t="s">
        <v>240</v>
      </c>
      <c r="AI34" s="274" t="s">
        <v>241</v>
      </c>
      <c r="AJ34" s="335"/>
      <c r="AK34" s="713"/>
      <c r="AV34" s="714"/>
      <c r="AW34" s="320"/>
    </row>
    <row r="35" spans="1:49" s="141" customFormat="1" ht="14.25" thickBot="1">
      <c r="A35" s="893" t="s">
        <v>286</v>
      </c>
      <c r="B35" s="778" t="s">
        <v>238</v>
      </c>
      <c r="C35" s="140">
        <v>700</v>
      </c>
      <c r="D35" s="779">
        <f t="shared" ref="D35" si="35">T35*I35</f>
        <v>87.149999999999991</v>
      </c>
      <c r="E35" s="779">
        <f t="shared" ref="E35" si="36">U35*J35</f>
        <v>159.25</v>
      </c>
      <c r="F35" s="779">
        <f t="shared" ref="F35" si="37">V35*K35</f>
        <v>200.89999999999998</v>
      </c>
      <c r="G35" s="780">
        <f>M35*L35</f>
        <v>89.25</v>
      </c>
      <c r="H35" s="139"/>
      <c r="I35" s="781">
        <f t="shared" ref="I35" si="38">AD35*$C35</f>
        <v>105</v>
      </c>
      <c r="J35" s="782">
        <f t="shared" ref="J35" si="39">AE35*$C35</f>
        <v>244.99999999999997</v>
      </c>
      <c r="K35" s="782">
        <f t="shared" ref="K35" si="40">AF35*$C35</f>
        <v>244.99999999999997</v>
      </c>
      <c r="L35" s="783">
        <f t="shared" ref="L35" si="41">AG35*$C35</f>
        <v>105</v>
      </c>
      <c r="M35" s="784">
        <f t="shared" ref="M35" si="42">(LARGE(N35:R35,1)+LARGE(N35:R35,2))/2</f>
        <v>0.85</v>
      </c>
      <c r="N35" s="781">
        <f>성적입력!G$5/계산도구!$AA35</f>
        <v>0.87</v>
      </c>
      <c r="O35" s="782">
        <f>성적입력!H$5/계산도구!$AA35</f>
        <v>0.83</v>
      </c>
      <c r="P35" s="785">
        <f>성적입력!I$5/계산도구!$AA35</f>
        <v>0.83</v>
      </c>
      <c r="Q35" s="785">
        <f>성적입력!J$5/계산도구!$AA35</f>
        <v>0.03</v>
      </c>
      <c r="R35" s="786"/>
      <c r="S35" s="139"/>
      <c r="T35" s="787">
        <f>성적입력!D$5/계산도구!X35</f>
        <v>0.83</v>
      </c>
      <c r="U35" s="779">
        <f>성적입력!E$5/계산도구!Y35</f>
        <v>0.65</v>
      </c>
      <c r="V35" s="780">
        <f>성적입력!F$5/계산도구!Z35</f>
        <v>0.82</v>
      </c>
      <c r="W35" s="788"/>
      <c r="X35" s="140">
        <v>100</v>
      </c>
      <c r="Y35" s="141">
        <v>100</v>
      </c>
      <c r="Z35" s="141">
        <v>100</v>
      </c>
      <c r="AA35" s="141">
        <v>100</v>
      </c>
      <c r="AB35" s="142"/>
      <c r="AC35" s="139"/>
      <c r="AD35" s="1097">
        <v>0.15</v>
      </c>
      <c r="AE35" s="1098">
        <v>0.35</v>
      </c>
      <c r="AF35" s="1098">
        <v>0.35</v>
      </c>
      <c r="AG35" s="1099">
        <v>0.15</v>
      </c>
      <c r="AH35" s="139"/>
      <c r="AI35" s="789"/>
      <c r="AJ35" s="777"/>
      <c r="AK35" s="790"/>
      <c r="AV35" s="791"/>
      <c r="AW35" s="140"/>
    </row>
    <row r="36" spans="1:49" s="249" customFormat="1">
      <c r="A36" s="894" t="s">
        <v>287</v>
      </c>
      <c r="B36" s="457" t="s">
        <v>193</v>
      </c>
      <c r="C36" s="458">
        <v>700</v>
      </c>
      <c r="D36" s="459">
        <f t="shared" si="33"/>
        <v>90</v>
      </c>
      <c r="E36" s="459">
        <f>IF(성적입력!$K$4="나형",U36*J36,U36*J36*1.1)</f>
        <v>193.75816993464053</v>
      </c>
      <c r="F36" s="459">
        <f t="shared" si="33"/>
        <v>178.94366197183098</v>
      </c>
      <c r="G36" s="460">
        <f>M36*L36+M36*10</f>
        <v>127.5</v>
      </c>
      <c r="H36" s="461"/>
      <c r="I36" s="462">
        <f t="shared" si="31"/>
        <v>105</v>
      </c>
      <c r="J36" s="463">
        <f t="shared" si="29"/>
        <v>244.99999999999997</v>
      </c>
      <c r="K36" s="463">
        <f t="shared" si="32"/>
        <v>210</v>
      </c>
      <c r="L36" s="464">
        <f t="shared" si="26"/>
        <v>140</v>
      </c>
      <c r="M36" s="465">
        <f t="shared" si="34"/>
        <v>0.85</v>
      </c>
      <c r="N36" s="462">
        <f>성적입력!G$5/계산도구!$AA36</f>
        <v>0.87</v>
      </c>
      <c r="O36" s="463">
        <f>성적입력!H$5/계산도구!$AA36</f>
        <v>0.83</v>
      </c>
      <c r="P36" s="466">
        <f>성적입력!I$5/계산도구!$AA36</f>
        <v>0.83</v>
      </c>
      <c r="Q36" s="466">
        <f>성적입력!J$5/계산도구!$AA36</f>
        <v>0.03</v>
      </c>
      <c r="R36" s="467"/>
      <c r="S36" s="461"/>
      <c r="T36" s="468">
        <f>성적입력!D$4/계산도구!X36</f>
        <v>0.8571428571428571</v>
      </c>
      <c r="U36" s="459">
        <f>성적입력!E$4/계산도구!Y36</f>
        <v>0.71895424836601307</v>
      </c>
      <c r="V36" s="460">
        <f>성적입력!F$4/계산도구!Z36</f>
        <v>0.852112676056338</v>
      </c>
      <c r="W36" s="469"/>
      <c r="X36" s="458">
        <f t="shared" ref="X36:X37" si="43">AK$2</f>
        <v>140</v>
      </c>
      <c r="Y36" s="458">
        <f>IF(성적입력!$K$4="가형",AL$2,AM$2)</f>
        <v>153</v>
      </c>
      <c r="Z36" s="458">
        <f t="shared" ref="Z36:Z37" si="44">AN$2</f>
        <v>142</v>
      </c>
      <c r="AA36" s="249">
        <v>100</v>
      </c>
      <c r="AB36" s="470"/>
      <c r="AC36" s="461"/>
      <c r="AD36" s="1100">
        <v>0.15</v>
      </c>
      <c r="AE36" s="1101">
        <v>0.35</v>
      </c>
      <c r="AF36" s="1101">
        <v>0.3</v>
      </c>
      <c r="AG36" s="1102">
        <v>0.2</v>
      </c>
      <c r="AH36" s="461" t="s">
        <v>195</v>
      </c>
      <c r="AI36" s="662" t="s">
        <v>414</v>
      </c>
      <c r="AJ36" s="682"/>
      <c r="AK36" s="715"/>
      <c r="AV36" s="716"/>
      <c r="AW36" s="458"/>
    </row>
    <row r="37" spans="1:49" s="483" customFormat="1" ht="14.25" thickBot="1">
      <c r="A37" s="895" t="s">
        <v>288</v>
      </c>
      <c r="B37" s="471" t="s">
        <v>194</v>
      </c>
      <c r="C37" s="472">
        <v>700</v>
      </c>
      <c r="D37" s="473">
        <f>T37*I37</f>
        <v>90</v>
      </c>
      <c r="E37" s="473">
        <f>U37*J37</f>
        <v>176.14379084967319</v>
      </c>
      <c r="F37" s="473">
        <f>V37*K37</f>
        <v>178.94366197183098</v>
      </c>
      <c r="G37" s="474">
        <f t="shared" ref="G37:G39" si="45">M37*L37</f>
        <v>119</v>
      </c>
      <c r="H37" s="471"/>
      <c r="I37" s="475">
        <f t="shared" si="31"/>
        <v>105</v>
      </c>
      <c r="J37" s="476">
        <f t="shared" si="29"/>
        <v>244.99999999999997</v>
      </c>
      <c r="K37" s="476">
        <f t="shared" si="32"/>
        <v>210</v>
      </c>
      <c r="L37" s="477">
        <f t="shared" si="26"/>
        <v>140</v>
      </c>
      <c r="M37" s="478">
        <f>(LARGE(N37:R37,1)+LARGE(N37:R37,2))/2</f>
        <v>0.85</v>
      </c>
      <c r="N37" s="475">
        <f>성적입력!G$5/계산도구!$AA37</f>
        <v>0.87</v>
      </c>
      <c r="O37" s="476">
        <f>성적입력!H$5/계산도구!$AA37</f>
        <v>0.83</v>
      </c>
      <c r="P37" s="479">
        <f>성적입력!I$5/계산도구!$AA37</f>
        <v>0.83</v>
      </c>
      <c r="Q37" s="479">
        <f>성적입력!J$5/계산도구!$AA37</f>
        <v>0.03</v>
      </c>
      <c r="R37" s="480"/>
      <c r="S37" s="471"/>
      <c r="T37" s="481">
        <f>성적입력!D$4/계산도구!X37</f>
        <v>0.8571428571428571</v>
      </c>
      <c r="U37" s="473">
        <f>성적입력!E$4/계산도구!Y37</f>
        <v>0.71895424836601307</v>
      </c>
      <c r="V37" s="474">
        <f>성적입력!F$4/계산도구!Z37</f>
        <v>0.852112676056338</v>
      </c>
      <c r="W37" s="482"/>
      <c r="X37" s="472">
        <f t="shared" si="43"/>
        <v>140</v>
      </c>
      <c r="Y37" s="472">
        <f>IF(성적입력!$K$4="가형",AL$2,AM$2)</f>
        <v>153</v>
      </c>
      <c r="Z37" s="472">
        <f t="shared" si="44"/>
        <v>142</v>
      </c>
      <c r="AA37" s="483">
        <v>100</v>
      </c>
      <c r="AB37" s="484"/>
      <c r="AC37" s="471"/>
      <c r="AD37" s="1103">
        <v>0.15</v>
      </c>
      <c r="AE37" s="1104">
        <v>0.35</v>
      </c>
      <c r="AF37" s="1104">
        <v>0.3</v>
      </c>
      <c r="AG37" s="1105">
        <v>0.2</v>
      </c>
      <c r="AH37" s="471"/>
      <c r="AI37" s="663"/>
      <c r="AJ37" s="683"/>
      <c r="AK37" s="717"/>
      <c r="AV37" s="718"/>
      <c r="AW37" s="472"/>
    </row>
    <row r="38" spans="1:49" s="247" customFormat="1">
      <c r="A38" s="896" t="s">
        <v>289</v>
      </c>
      <c r="B38" s="252" t="s">
        <v>46</v>
      </c>
      <c r="C38" s="253">
        <v>700</v>
      </c>
      <c r="D38" s="254">
        <f t="shared" si="33"/>
        <v>84</v>
      </c>
      <c r="E38" s="254">
        <f t="shared" si="33"/>
        <v>115.50000000000001</v>
      </c>
      <c r="F38" s="254">
        <f t="shared" si="33"/>
        <v>84.7</v>
      </c>
      <c r="G38" s="255">
        <f t="shared" si="45"/>
        <v>170.96406250000001</v>
      </c>
      <c r="H38" s="256"/>
      <c r="I38" s="257">
        <f t="shared" ref="I38:L38" si="46">AD38*$C38</f>
        <v>140</v>
      </c>
      <c r="J38" s="258">
        <f t="shared" si="46"/>
        <v>210</v>
      </c>
      <c r="K38" s="258">
        <f t="shared" si="46"/>
        <v>140</v>
      </c>
      <c r="L38" s="259">
        <f t="shared" si="46"/>
        <v>210</v>
      </c>
      <c r="M38" s="795">
        <f>((LARGE(N38:R38,1)+LARGE(N38:R38,2))/2+100)/AA38</f>
        <v>0.81411458333333342</v>
      </c>
      <c r="N38" s="257">
        <f>VLOOKUP(성적입력!G$5,보정점수표!$A$3:$M$103,11,FALSE)</f>
        <v>63.708333333333336</v>
      </c>
      <c r="O38" s="258">
        <f>VLOOKUP(성적입력!H$5,보정점수표!$A$3:$M$103,11,FALSE)</f>
        <v>61.9375</v>
      </c>
      <c r="P38" s="258">
        <f>VLOOKUP(성적입력!I$5,보정점수표!$A$3:$M$103,11,FALSE)</f>
        <v>61.9375</v>
      </c>
      <c r="Q38" s="258">
        <f>VLOOKUP(성적입력!J$5,보정점수표!$A$3:$M$103,11,FALSE)</f>
        <v>35.3125</v>
      </c>
      <c r="R38" s="260"/>
      <c r="S38" s="256"/>
      <c r="T38" s="261">
        <f>성적입력!D$4/계산도구!X38</f>
        <v>0.6</v>
      </c>
      <c r="U38" s="254">
        <f>성적입력!E$4/계산도구!Y38</f>
        <v>0.55000000000000004</v>
      </c>
      <c r="V38" s="255">
        <f>성적입력!F$4/계산도구!Z38</f>
        <v>0.60499999999999998</v>
      </c>
      <c r="W38" s="262"/>
      <c r="X38" s="253">
        <v>200</v>
      </c>
      <c r="Y38" s="247">
        <v>200</v>
      </c>
      <c r="Z38" s="247">
        <v>200</v>
      </c>
      <c r="AA38" s="247">
        <v>200</v>
      </c>
      <c r="AB38" s="263"/>
      <c r="AC38" s="256"/>
      <c r="AD38" s="1106">
        <v>0.2</v>
      </c>
      <c r="AE38" s="1107">
        <v>0.3</v>
      </c>
      <c r="AF38" s="1107">
        <v>0.2</v>
      </c>
      <c r="AG38" s="1108">
        <v>0.3</v>
      </c>
      <c r="AH38" s="793"/>
      <c r="AI38" s="664"/>
      <c r="AJ38" s="251"/>
      <c r="AK38" s="719"/>
      <c r="AV38" s="720"/>
      <c r="AW38" s="253"/>
    </row>
    <row r="39" spans="1:49" s="348" customFormat="1">
      <c r="A39" s="897" t="s">
        <v>290</v>
      </c>
      <c r="B39" s="337" t="s">
        <v>242</v>
      </c>
      <c r="C39" s="338">
        <v>700</v>
      </c>
      <c r="D39" s="339">
        <f>T39*I39</f>
        <v>84</v>
      </c>
      <c r="E39" s="339">
        <f>IF(성적입력!$K$4="나형",U39*J39,U39*J39*1.1)</f>
        <v>127.05000000000003</v>
      </c>
      <c r="F39" s="339">
        <f>V39*K39</f>
        <v>84.7</v>
      </c>
      <c r="G39" s="340">
        <f t="shared" si="45"/>
        <v>170.96406250000001</v>
      </c>
      <c r="H39" s="341"/>
      <c r="I39" s="342">
        <f t="shared" ref="I39:L40" si="47">AD39*$C39</f>
        <v>140</v>
      </c>
      <c r="J39" s="343">
        <f t="shared" si="47"/>
        <v>210</v>
      </c>
      <c r="K39" s="343">
        <f t="shared" si="47"/>
        <v>140</v>
      </c>
      <c r="L39" s="344">
        <f t="shared" si="47"/>
        <v>210</v>
      </c>
      <c r="M39" s="796">
        <f t="shared" ref="M39:M40" si="48">((LARGE(N39:R39,1)+LARGE(N39:R39,2))/2+100)/AA39</f>
        <v>0.81411458333333342</v>
      </c>
      <c r="N39" s="342">
        <f>VLOOKUP(성적입력!G$5,보정점수표!$A$3:$M$103,11,FALSE)</f>
        <v>63.708333333333336</v>
      </c>
      <c r="O39" s="343">
        <f>VLOOKUP(성적입력!H$5,보정점수표!$A$3:$M$103,11,FALSE)</f>
        <v>61.9375</v>
      </c>
      <c r="P39" s="343">
        <f>VLOOKUP(성적입력!I$5,보정점수표!$A$3:$M$103,11,FALSE)</f>
        <v>61.9375</v>
      </c>
      <c r="Q39" s="343">
        <f>VLOOKUP(성적입력!J$5,보정점수표!$A$3:$M$103,11,FALSE)</f>
        <v>35.3125</v>
      </c>
      <c r="R39" s="345"/>
      <c r="S39" s="341"/>
      <c r="T39" s="346">
        <f>성적입력!D$4/계산도구!X39</f>
        <v>0.6</v>
      </c>
      <c r="U39" s="339">
        <f>성적입력!E$4/계산도구!Y39</f>
        <v>0.55000000000000004</v>
      </c>
      <c r="V39" s="340">
        <f>성적입력!F$4/계산도구!Z39</f>
        <v>0.60499999999999998</v>
      </c>
      <c r="W39" s="347"/>
      <c r="X39" s="338">
        <v>200</v>
      </c>
      <c r="Y39" s="348">
        <v>200</v>
      </c>
      <c r="Z39" s="348">
        <v>200</v>
      </c>
      <c r="AA39" s="348">
        <v>200</v>
      </c>
      <c r="AB39" s="349"/>
      <c r="AC39" s="341"/>
      <c r="AD39" s="1109">
        <v>0.2</v>
      </c>
      <c r="AE39" s="1110">
        <v>0.3</v>
      </c>
      <c r="AF39" s="1110">
        <v>0.2</v>
      </c>
      <c r="AG39" s="1111">
        <v>0.3</v>
      </c>
      <c r="AH39" s="794" t="s">
        <v>245</v>
      </c>
      <c r="AI39" s="665"/>
      <c r="AJ39" s="336"/>
      <c r="AK39" s="721"/>
      <c r="AV39" s="617"/>
      <c r="AW39" s="338"/>
    </row>
    <row r="40" spans="1:49" s="348" customFormat="1" ht="14.25" thickBot="1">
      <c r="A40" s="897" t="s">
        <v>291</v>
      </c>
      <c r="B40" s="337" t="s">
        <v>243</v>
      </c>
      <c r="C40" s="338">
        <v>700</v>
      </c>
      <c r="D40" s="339">
        <f>T40*I40</f>
        <v>84</v>
      </c>
      <c r="E40" s="339">
        <f>U40*J40</f>
        <v>115.50000000000001</v>
      </c>
      <c r="F40" s="339">
        <f>V40*K40</f>
        <v>84.7</v>
      </c>
      <c r="G40" s="340">
        <f t="shared" ref="G40" si="49">M40*L40</f>
        <v>172.58992187499999</v>
      </c>
      <c r="H40" s="341"/>
      <c r="I40" s="342">
        <f t="shared" si="47"/>
        <v>140</v>
      </c>
      <c r="J40" s="343">
        <f t="shared" si="47"/>
        <v>210</v>
      </c>
      <c r="K40" s="343">
        <f t="shared" si="47"/>
        <v>140</v>
      </c>
      <c r="L40" s="344">
        <f t="shared" si="47"/>
        <v>210</v>
      </c>
      <c r="M40" s="796">
        <f t="shared" si="48"/>
        <v>0.82185677083333331</v>
      </c>
      <c r="N40" s="342">
        <f>(IF(OR(성적입력!G$3="화2",성적입력!G$3="생2"),VLOOKUP(성적입력!G$5,보정점수표!$A$3:$M$103,11,FALSE)*1.05,VLOOKUP(성적입력!G$5,보정점수표!$A$3:$M$103,11,FALSE)))</f>
        <v>63.708333333333336</v>
      </c>
      <c r="O40" s="343">
        <f>(IF(OR(성적입력!H$3="화2",성적입력!H$3="생2"),VLOOKUP(성적입력!H$5,보정점수표!$A$3:$M$103,11,FALSE)*1.05,VLOOKUP(성적입력!H$5,보정점수표!$A$3:$M$103,11,FALSE)))</f>
        <v>61.9375</v>
      </c>
      <c r="P40" s="343">
        <f>(IF(OR(성적입력!I$3="화2",성적입력!I$3="생2"),VLOOKUP(성적입력!I$5,보정점수표!$A$3:$M$103,11,FALSE)*1.05,VLOOKUP(성적입력!I$5,보정점수표!$A$3:$M$103,11,FALSE)))</f>
        <v>65.034374999999997</v>
      </c>
      <c r="Q40" s="343">
        <f>(IF(OR(성적입력!J$3="화2",성적입력!J$3="생2"),VLOOKUP(성적입력!J$5,보정점수표!$A$3:$M$103,11,FALSE)*1.05,VLOOKUP(성적입력!J$5,보정점수표!$A$3:$M$103,11,FALSE)))</f>
        <v>37.078125</v>
      </c>
      <c r="R40" s="345"/>
      <c r="S40" s="341"/>
      <c r="T40" s="346">
        <f>성적입력!D$4/계산도구!X40</f>
        <v>0.6</v>
      </c>
      <c r="U40" s="339">
        <f>성적입력!E$4/계산도구!Y40</f>
        <v>0.55000000000000004</v>
      </c>
      <c r="V40" s="340">
        <f>성적입력!F$4/계산도구!Z40</f>
        <v>0.60499999999999998</v>
      </c>
      <c r="W40" s="347"/>
      <c r="X40" s="338">
        <v>200</v>
      </c>
      <c r="Y40" s="348">
        <v>200</v>
      </c>
      <c r="Z40" s="348">
        <v>200</v>
      </c>
      <c r="AA40" s="348">
        <v>200</v>
      </c>
      <c r="AB40" s="349"/>
      <c r="AC40" s="341"/>
      <c r="AD40" s="1109">
        <v>0.2</v>
      </c>
      <c r="AE40" s="1110">
        <v>0.3</v>
      </c>
      <c r="AF40" s="1110">
        <v>0.2</v>
      </c>
      <c r="AG40" s="1111">
        <v>0.3</v>
      </c>
      <c r="AH40" s="792" t="s">
        <v>246</v>
      </c>
      <c r="AI40" s="665" t="s">
        <v>247</v>
      </c>
      <c r="AJ40" s="336"/>
      <c r="AK40" s="721"/>
      <c r="AV40" s="650"/>
      <c r="AW40" s="338"/>
    </row>
    <row r="41" spans="1:49" s="811" customFormat="1">
      <c r="A41" s="898" t="s">
        <v>60</v>
      </c>
      <c r="B41" s="798" t="s">
        <v>408</v>
      </c>
      <c r="C41" s="799">
        <v>70</v>
      </c>
      <c r="D41" s="800">
        <f>(I41/$H41)*$C41</f>
        <v>9.2240117130307464</v>
      </c>
      <c r="E41" s="800">
        <f t="shared" ref="E41:G42" si="50">(J41/$H41)*$C41</f>
        <v>16.91068814055637</v>
      </c>
      <c r="F41" s="800">
        <f t="shared" si="50"/>
        <v>21.702049780380673</v>
      </c>
      <c r="G41" s="801">
        <f t="shared" si="50"/>
        <v>8.7115666178623723</v>
      </c>
      <c r="H41" s="802">
        <f>(X41*AD41+Y41*AE41+Z41*AF41+AA41*AG41)</f>
        <v>683</v>
      </c>
      <c r="I41" s="803">
        <f>성적입력!D$4*계산도구!AD41</f>
        <v>90</v>
      </c>
      <c r="J41" s="804">
        <f>성적입력!E$4*계산도구!AE41</f>
        <v>165</v>
      </c>
      <c r="K41" s="804">
        <f>성적입력!F$4*계산도구!AF41</f>
        <v>211.75</v>
      </c>
      <c r="L41" s="805">
        <f>M41*계산도구!AG41</f>
        <v>85</v>
      </c>
      <c r="M41" s="806">
        <f>(LARGE(N41:R41,1)+LARGE(N41:R41,2))/2</f>
        <v>85</v>
      </c>
      <c r="N41" s="803">
        <f>성적입력!G$5</f>
        <v>87</v>
      </c>
      <c r="O41" s="804">
        <f>성적입력!H$5</f>
        <v>83</v>
      </c>
      <c r="P41" s="807">
        <f>성적입력!I$5</f>
        <v>83</v>
      </c>
      <c r="Q41" s="807">
        <f>성적입력!J$5</f>
        <v>3</v>
      </c>
      <c r="R41" s="808"/>
      <c r="S41" s="802"/>
      <c r="T41" s="809">
        <f>성적입력!D$4/계산도구!X41</f>
        <v>0.8571428571428571</v>
      </c>
      <c r="U41" s="800">
        <f>성적입력!E$4/계산도구!Y41</f>
        <v>0.71895424836601307</v>
      </c>
      <c r="V41" s="801">
        <f>성적입력!F$4/계산도구!Z41</f>
        <v>0.852112676056338</v>
      </c>
      <c r="W41" s="810"/>
      <c r="X41" s="799">
        <f t="shared" ref="X41:X42" si="51">AK$2</f>
        <v>140</v>
      </c>
      <c r="Y41" s="811">
        <f>IF(성적입력!$K$4="가형",AL$2,AM$2)</f>
        <v>153</v>
      </c>
      <c r="Z41" s="811">
        <f t="shared" ref="Z41:Z42" si="52">AN$2</f>
        <v>142</v>
      </c>
      <c r="AA41" s="811">
        <v>100</v>
      </c>
      <c r="AB41" s="812"/>
      <c r="AC41" s="802"/>
      <c r="AD41" s="1112">
        <v>0.75</v>
      </c>
      <c r="AE41" s="1113">
        <v>1.5</v>
      </c>
      <c r="AF41" s="1113">
        <v>1.75</v>
      </c>
      <c r="AG41" s="1114">
        <v>1</v>
      </c>
      <c r="AH41" s="802"/>
      <c r="AI41" s="813"/>
      <c r="AJ41" s="814"/>
      <c r="AK41" s="815"/>
      <c r="AV41" s="816"/>
      <c r="AW41" s="799"/>
    </row>
    <row r="42" spans="1:49" s="1197" customFormat="1">
      <c r="A42" s="1183" t="s">
        <v>61</v>
      </c>
      <c r="B42" s="1184" t="s">
        <v>409</v>
      </c>
      <c r="C42" s="1185">
        <v>70</v>
      </c>
      <c r="D42" s="1186">
        <f>(I42/$H42)*$C42</f>
        <v>12.121212121212121</v>
      </c>
      <c r="E42" s="1186">
        <f t="shared" si="50"/>
        <v>16.666666666666664</v>
      </c>
      <c r="F42" s="1186">
        <f t="shared" si="50"/>
        <v>21.388888888888889</v>
      </c>
      <c r="G42" s="1187">
        <f t="shared" si="50"/>
        <v>6.4393939393939386</v>
      </c>
      <c r="H42" s="1188">
        <f>(X42*AD42+Y42*AE42+Z42*AF42+AA42*AG42)</f>
        <v>693</v>
      </c>
      <c r="I42" s="1189">
        <f>성적입력!D$4*계산도구!AD42</f>
        <v>120</v>
      </c>
      <c r="J42" s="1190">
        <f>성적입력!E$4*계산도구!AE42</f>
        <v>165</v>
      </c>
      <c r="K42" s="1190">
        <f>성적입력!F$4*계산도구!AF42</f>
        <v>211.75</v>
      </c>
      <c r="L42" s="1191">
        <f>M42*계산도구!AG42</f>
        <v>63.75</v>
      </c>
      <c r="M42" s="1192">
        <f>(LARGE(N42:R42,1)+LARGE(N42:R42,2))/2</f>
        <v>85</v>
      </c>
      <c r="N42" s="1189">
        <f>성적입력!G$5</f>
        <v>87</v>
      </c>
      <c r="O42" s="1190">
        <f>성적입력!H$5</f>
        <v>83</v>
      </c>
      <c r="P42" s="1193">
        <f>성적입력!I$5</f>
        <v>83</v>
      </c>
      <c r="Q42" s="1193">
        <f>성적입력!J$5</f>
        <v>3</v>
      </c>
      <c r="R42" s="1194"/>
      <c r="S42" s="1188"/>
      <c r="T42" s="1195">
        <f>성적입력!D$4/계산도구!X42</f>
        <v>0.8571428571428571</v>
      </c>
      <c r="U42" s="1186">
        <f>성적입력!E$4/계산도구!Y42</f>
        <v>0.71895424836601307</v>
      </c>
      <c r="V42" s="1187">
        <f>성적입력!F$4/계산도구!Z42</f>
        <v>0.852112676056338</v>
      </c>
      <c r="W42" s="1196"/>
      <c r="X42" s="1185">
        <f t="shared" si="51"/>
        <v>140</v>
      </c>
      <c r="Y42" s="1197">
        <f>IF(성적입력!$K$4="가형",AL$2,AM$2)</f>
        <v>153</v>
      </c>
      <c r="Z42" s="1197">
        <f t="shared" si="52"/>
        <v>142</v>
      </c>
      <c r="AA42" s="1197">
        <v>100</v>
      </c>
      <c r="AB42" s="1198"/>
      <c r="AC42" s="1188"/>
      <c r="AD42" s="1199">
        <v>1</v>
      </c>
      <c r="AE42" s="1200">
        <v>1.5</v>
      </c>
      <c r="AF42" s="1200">
        <v>1.75</v>
      </c>
      <c r="AG42" s="1201">
        <v>0.75</v>
      </c>
      <c r="AH42" s="1188" t="s">
        <v>248</v>
      </c>
      <c r="AI42" s="1202"/>
      <c r="AJ42" s="1203"/>
      <c r="AK42" s="1204"/>
      <c r="AV42" s="1205"/>
      <c r="AW42" s="1185"/>
    </row>
    <row r="43" spans="1:49" s="830" customFormat="1">
      <c r="A43" s="899" t="s">
        <v>406</v>
      </c>
      <c r="B43" s="817" t="s">
        <v>410</v>
      </c>
      <c r="C43" s="818"/>
      <c r="D43" s="819">
        <f>I43</f>
        <v>90</v>
      </c>
      <c r="E43" s="819">
        <f t="shared" ref="E43:E44" si="53">J43</f>
        <v>165</v>
      </c>
      <c r="F43" s="819">
        <f t="shared" ref="F43:F44" si="54">K43</f>
        <v>211.75</v>
      </c>
      <c r="G43" s="820">
        <f t="shared" ref="G43:G44" si="55">L43</f>
        <v>85</v>
      </c>
      <c r="H43" s="821">
        <f>(X43*AD43+Y43*AE43+Z43*AF43+AA43*AG43)</f>
        <v>683</v>
      </c>
      <c r="I43" s="822">
        <f>성적입력!D$4*계산도구!AD43</f>
        <v>90</v>
      </c>
      <c r="J43" s="823">
        <f>성적입력!E$4*계산도구!AE43</f>
        <v>165</v>
      </c>
      <c r="K43" s="823">
        <f>성적입력!F$4*계산도구!AF43</f>
        <v>211.75</v>
      </c>
      <c r="L43" s="824">
        <f>M43*계산도구!AG43</f>
        <v>85</v>
      </c>
      <c r="M43" s="825">
        <f>(LARGE(N43:R43,1)+LARGE(N43:R43,2))/2</f>
        <v>85</v>
      </c>
      <c r="N43" s="822">
        <f>성적입력!G$5</f>
        <v>87</v>
      </c>
      <c r="O43" s="823">
        <f>성적입력!H$5</f>
        <v>83</v>
      </c>
      <c r="P43" s="826">
        <f>성적입력!I$5</f>
        <v>83</v>
      </c>
      <c r="Q43" s="826">
        <f>성적입력!J$5</f>
        <v>3</v>
      </c>
      <c r="R43" s="827"/>
      <c r="S43" s="821"/>
      <c r="T43" s="828">
        <f>성적입력!D$4/계산도구!X43</f>
        <v>0.8571428571428571</v>
      </c>
      <c r="U43" s="819">
        <f>성적입력!E$4/계산도구!Y43</f>
        <v>0.71895424836601307</v>
      </c>
      <c r="V43" s="820">
        <f>성적입력!F$4/계산도구!Z43</f>
        <v>0.852112676056338</v>
      </c>
      <c r="W43" s="829"/>
      <c r="X43" s="818">
        <f t="shared" ref="X43:X44" si="56">AK$2</f>
        <v>140</v>
      </c>
      <c r="Y43" s="830">
        <f>IF(성적입력!$K$4="가형",AL$2,AM$2)</f>
        <v>153</v>
      </c>
      <c r="Z43" s="830">
        <f t="shared" ref="Z43:Z44" si="57">AN$2</f>
        <v>142</v>
      </c>
      <c r="AA43" s="830">
        <v>100</v>
      </c>
      <c r="AB43" s="831"/>
      <c r="AC43" s="821"/>
      <c r="AD43" s="1115">
        <v>0.75</v>
      </c>
      <c r="AE43" s="1116">
        <v>1.5</v>
      </c>
      <c r="AF43" s="1116">
        <v>1.75</v>
      </c>
      <c r="AG43" s="1117">
        <v>1</v>
      </c>
      <c r="AH43" s="821"/>
      <c r="AI43" s="832"/>
      <c r="AJ43" s="797"/>
      <c r="AK43" s="833"/>
      <c r="AV43" s="834"/>
      <c r="AW43" s="818"/>
    </row>
    <row r="44" spans="1:49" s="830" customFormat="1" ht="14.25" thickBot="1">
      <c r="A44" s="899" t="s">
        <v>407</v>
      </c>
      <c r="B44" s="817" t="s">
        <v>411</v>
      </c>
      <c r="C44" s="818"/>
      <c r="D44" s="819">
        <f t="shared" ref="D44" si="58">I44</f>
        <v>120</v>
      </c>
      <c r="E44" s="819">
        <f t="shared" si="53"/>
        <v>165</v>
      </c>
      <c r="F44" s="819">
        <f t="shared" si="54"/>
        <v>211.75</v>
      </c>
      <c r="G44" s="820">
        <f t="shared" si="55"/>
        <v>63.75</v>
      </c>
      <c r="H44" s="821">
        <f>(X44*AD44+Y44*AE44+Z44*AF44+AA44*AG44)</f>
        <v>693</v>
      </c>
      <c r="I44" s="822">
        <f>성적입력!D$4*계산도구!AD44</f>
        <v>120</v>
      </c>
      <c r="J44" s="823">
        <f>성적입력!E$4*계산도구!AE44</f>
        <v>165</v>
      </c>
      <c r="K44" s="823">
        <f>성적입력!F$4*계산도구!AF44</f>
        <v>211.75</v>
      </c>
      <c r="L44" s="824">
        <f>M44*계산도구!AG44</f>
        <v>63.75</v>
      </c>
      <c r="M44" s="825">
        <f>(LARGE(N44:R44,1)+LARGE(N44:R44,2))/2</f>
        <v>85</v>
      </c>
      <c r="N44" s="822">
        <f>성적입력!G$5</f>
        <v>87</v>
      </c>
      <c r="O44" s="823">
        <f>성적입력!H$5</f>
        <v>83</v>
      </c>
      <c r="P44" s="826">
        <f>성적입력!I$5</f>
        <v>83</v>
      </c>
      <c r="Q44" s="826">
        <f>성적입력!J$5</f>
        <v>3</v>
      </c>
      <c r="R44" s="827"/>
      <c r="S44" s="821"/>
      <c r="T44" s="828">
        <f>성적입력!D$4/계산도구!X44</f>
        <v>0.8571428571428571</v>
      </c>
      <c r="U44" s="819">
        <f>성적입력!E$4/계산도구!Y44</f>
        <v>0.71895424836601307</v>
      </c>
      <c r="V44" s="820">
        <f>성적입력!F$4/계산도구!Z44</f>
        <v>0.852112676056338</v>
      </c>
      <c r="W44" s="829"/>
      <c r="X44" s="818">
        <f t="shared" si="56"/>
        <v>140</v>
      </c>
      <c r="Y44" s="830">
        <f>IF(성적입력!$K$4="가형",AL$2,AM$2)</f>
        <v>153</v>
      </c>
      <c r="Z44" s="830">
        <f t="shared" si="57"/>
        <v>142</v>
      </c>
      <c r="AA44" s="830">
        <v>100</v>
      </c>
      <c r="AB44" s="831"/>
      <c r="AC44" s="821"/>
      <c r="AD44" s="1115">
        <v>1</v>
      </c>
      <c r="AE44" s="1116">
        <v>1.5</v>
      </c>
      <c r="AF44" s="1116">
        <v>1.75</v>
      </c>
      <c r="AG44" s="1117">
        <v>0.75</v>
      </c>
      <c r="AH44" s="821" t="s">
        <v>248</v>
      </c>
      <c r="AI44" s="832"/>
      <c r="AJ44" s="797"/>
      <c r="AK44" s="833"/>
      <c r="AV44" s="834"/>
      <c r="AW44" s="818"/>
    </row>
    <row r="45" spans="1:49" s="1159" customFormat="1" ht="14.25" thickBot="1">
      <c r="A45" s="863" t="s">
        <v>292</v>
      </c>
      <c r="B45" s="159" t="s">
        <v>46</v>
      </c>
      <c r="C45" s="1160">
        <v>600</v>
      </c>
      <c r="D45" s="395">
        <f t="shared" ref="D45:D77" si="59">T45*I45</f>
        <v>83</v>
      </c>
      <c r="E45" s="395">
        <f>(U45*J45)*1.1</f>
        <v>143</v>
      </c>
      <c r="F45" s="395">
        <f t="shared" ref="F45:F91" si="60">V45*K45</f>
        <v>164</v>
      </c>
      <c r="G45" s="396">
        <f>M45*L45</f>
        <v>85</v>
      </c>
      <c r="H45" s="165"/>
      <c r="I45" s="162">
        <f t="shared" ref="I45:I67" si="61">AD45*$C45</f>
        <v>100</v>
      </c>
      <c r="J45" s="163">
        <f t="shared" ref="J45:J67" si="62">AE45*$C45</f>
        <v>200</v>
      </c>
      <c r="K45" s="163">
        <f t="shared" ref="K45:K67" si="63">AF45*$C45</f>
        <v>200</v>
      </c>
      <c r="L45" s="164">
        <f t="shared" ref="L45:L67" si="64">AG45*$C45</f>
        <v>100</v>
      </c>
      <c r="M45" s="161">
        <f>(LARGE(N45:R45,1)+LARGE(N45:R45,2))/2</f>
        <v>0.85</v>
      </c>
      <c r="N45" s="162">
        <f>성적입력!G$5/$AA45</f>
        <v>0.87</v>
      </c>
      <c r="O45" s="163">
        <f>성적입력!H$5/$AA45</f>
        <v>0.83</v>
      </c>
      <c r="P45" s="163">
        <f>성적입력!I$5/$AA45</f>
        <v>0.83</v>
      </c>
      <c r="Q45" s="163">
        <f>성적입력!J$5/$AA45</f>
        <v>0.03</v>
      </c>
      <c r="R45" s="164"/>
      <c r="S45" s="165"/>
      <c r="T45" s="166">
        <f>성적입력!D$5/계산도구!X45</f>
        <v>0.83</v>
      </c>
      <c r="U45" s="395">
        <f>성적입력!E$5/계산도구!Y45</f>
        <v>0.65</v>
      </c>
      <c r="V45" s="396">
        <f>성적입력!F$5/계산도구!Z45</f>
        <v>0.82</v>
      </c>
      <c r="W45" s="167"/>
      <c r="X45" s="1160">
        <v>100</v>
      </c>
      <c r="Y45" s="168">
        <v>100</v>
      </c>
      <c r="Z45" s="168">
        <v>100</v>
      </c>
      <c r="AA45" s="168">
        <v>100</v>
      </c>
      <c r="AB45" s="1158"/>
      <c r="AC45" s="165"/>
      <c r="AD45" s="1132">
        <f>1/6</f>
        <v>0.16666666666666666</v>
      </c>
      <c r="AE45" s="1119">
        <v>0.33333333333333331</v>
      </c>
      <c r="AF45" s="1119">
        <v>0.33333333333333331</v>
      </c>
      <c r="AG45" s="1120">
        <v>0.16666666666666666</v>
      </c>
      <c r="AH45" s="165"/>
      <c r="AJ45" s="158"/>
      <c r="AK45" s="724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725"/>
    </row>
    <row r="46" spans="1:49" s="168" customFormat="1" ht="14.25" thickBot="1">
      <c r="A46" s="863" t="s">
        <v>293</v>
      </c>
      <c r="B46" s="159" t="s">
        <v>46</v>
      </c>
      <c r="C46" s="160">
        <v>700</v>
      </c>
      <c r="D46" s="395">
        <f t="shared" si="59"/>
        <v>58.099999999999994</v>
      </c>
      <c r="E46" s="395">
        <f>U46*J46*1.05</f>
        <v>167.21250000000001</v>
      </c>
      <c r="F46" s="395">
        <f t="shared" si="60"/>
        <v>200.89999999999998</v>
      </c>
      <c r="G46" s="396">
        <f>M46*L46*1.05</f>
        <v>127.89</v>
      </c>
      <c r="H46" s="165"/>
      <c r="I46" s="162">
        <f t="shared" si="61"/>
        <v>70</v>
      </c>
      <c r="J46" s="163">
        <f t="shared" si="62"/>
        <v>244.99999999999997</v>
      </c>
      <c r="K46" s="163">
        <f t="shared" si="63"/>
        <v>244.99999999999997</v>
      </c>
      <c r="L46" s="164">
        <f t="shared" si="64"/>
        <v>140</v>
      </c>
      <c r="M46" s="405">
        <f>(LARGE(N46:R46,1))</f>
        <v>0.87</v>
      </c>
      <c r="N46" s="162">
        <f>성적입력!G$5/계산도구!$AA46</f>
        <v>0.87</v>
      </c>
      <c r="O46" s="163">
        <f>성적입력!H$5/계산도구!$AA46</f>
        <v>0.83</v>
      </c>
      <c r="P46" s="397">
        <f>성적입력!I$5/계산도구!$AA46</f>
        <v>0.83</v>
      </c>
      <c r="Q46" s="397">
        <f>성적입력!J$5/계산도구!$AA46</f>
        <v>0.03</v>
      </c>
      <c r="R46" s="398"/>
      <c r="S46" s="165"/>
      <c r="T46" s="166">
        <f>성적입력!D$5/계산도구!X46</f>
        <v>0.83</v>
      </c>
      <c r="U46" s="395">
        <f>성적입력!E$5/계산도구!Y46</f>
        <v>0.65</v>
      </c>
      <c r="V46" s="396">
        <f>성적입력!F$5/계산도구!Z46</f>
        <v>0.82</v>
      </c>
      <c r="W46" s="167"/>
      <c r="X46" s="160">
        <v>100</v>
      </c>
      <c r="Y46" s="168">
        <v>100</v>
      </c>
      <c r="Z46" s="168">
        <v>100</v>
      </c>
      <c r="AA46" s="168">
        <v>100</v>
      </c>
      <c r="AB46" s="169"/>
      <c r="AC46" s="165"/>
      <c r="AD46" s="1118">
        <v>0.1</v>
      </c>
      <c r="AE46" s="567">
        <v>0.35</v>
      </c>
      <c r="AF46" s="567">
        <v>0.35</v>
      </c>
      <c r="AG46" s="568">
        <v>0.2</v>
      </c>
      <c r="AH46" s="165" t="s">
        <v>192</v>
      </c>
      <c r="AI46" s="614" t="s">
        <v>187</v>
      </c>
      <c r="AJ46" s="158"/>
      <c r="AK46" s="724"/>
      <c r="AV46" s="725"/>
      <c r="AW46" s="615"/>
    </row>
    <row r="47" spans="1:49" s="168" customFormat="1" ht="14.25" thickBot="1">
      <c r="A47" s="863" t="s">
        <v>294</v>
      </c>
      <c r="B47" s="159" t="s">
        <v>46</v>
      </c>
      <c r="C47" s="840">
        <v>900</v>
      </c>
      <c r="D47" s="395">
        <f t="shared" si="59"/>
        <v>0</v>
      </c>
      <c r="E47" s="841">
        <f>IF(성적입력!$K$4="나형",U47*J47,(U47+0.15)*J47)</f>
        <v>360</v>
      </c>
      <c r="F47" s="395">
        <f t="shared" si="60"/>
        <v>221.39999999999998</v>
      </c>
      <c r="G47" s="842">
        <f>(M47+0.15)*L47</f>
        <v>180</v>
      </c>
      <c r="H47" s="165"/>
      <c r="I47" s="162">
        <f t="shared" si="61"/>
        <v>0</v>
      </c>
      <c r="J47" s="163">
        <f t="shared" si="62"/>
        <v>450</v>
      </c>
      <c r="K47" s="163">
        <f t="shared" si="63"/>
        <v>270</v>
      </c>
      <c r="L47" s="164">
        <f t="shared" si="64"/>
        <v>180</v>
      </c>
      <c r="M47" s="161">
        <f>(LARGE(N47:R47,1)+LARGE(N47:R47,2))/2</f>
        <v>0.85</v>
      </c>
      <c r="N47" s="325">
        <f>성적입력!G$5/계산도구!$AA47</f>
        <v>0.87</v>
      </c>
      <c r="O47" s="326">
        <f>성적입력!H$5/계산도구!$AA47</f>
        <v>0.83</v>
      </c>
      <c r="P47" s="329">
        <f>성적입력!I$5/계산도구!$AA47</f>
        <v>0.83</v>
      </c>
      <c r="Q47" s="329">
        <f>성적입력!J$5/계산도구!$AA47</f>
        <v>0.03</v>
      </c>
      <c r="R47" s="398"/>
      <c r="S47" s="165"/>
      <c r="T47" s="166">
        <f>성적입력!D$5/계산도구!X47</f>
        <v>0.83</v>
      </c>
      <c r="U47" s="395">
        <f>성적입력!E$5/계산도구!Y47</f>
        <v>0.65</v>
      </c>
      <c r="V47" s="396">
        <f>성적입력!F$5/계산도구!Z47</f>
        <v>0.82</v>
      </c>
      <c r="W47" s="167"/>
      <c r="X47" s="160">
        <v>100</v>
      </c>
      <c r="Y47" s="168">
        <v>100</v>
      </c>
      <c r="Z47" s="168">
        <v>100</v>
      </c>
      <c r="AA47" s="168">
        <v>100</v>
      </c>
      <c r="AB47" s="169"/>
      <c r="AC47" s="165"/>
      <c r="AD47" s="1118"/>
      <c r="AE47" s="1119">
        <v>0.5</v>
      </c>
      <c r="AF47" s="567">
        <v>0.3</v>
      </c>
      <c r="AG47" s="1120">
        <v>0.2</v>
      </c>
      <c r="AH47" s="165" t="s">
        <v>75</v>
      </c>
      <c r="AI47" s="614"/>
      <c r="AJ47" s="158"/>
      <c r="AK47" s="724"/>
      <c r="AV47" s="725"/>
      <c r="AW47" s="615"/>
    </row>
    <row r="48" spans="1:49" s="333" customFormat="1">
      <c r="A48" s="891" t="s">
        <v>295</v>
      </c>
      <c r="B48" s="319" t="s">
        <v>46</v>
      </c>
      <c r="C48" s="320">
        <v>500</v>
      </c>
      <c r="D48" s="321">
        <f t="shared" si="59"/>
        <v>0</v>
      </c>
      <c r="E48" s="321">
        <f>IF(성적입력!$K$4="나형",U48*J48,U48*J48*1.1)</f>
        <v>143</v>
      </c>
      <c r="F48" s="321">
        <f t="shared" si="60"/>
        <v>164</v>
      </c>
      <c r="G48" s="323">
        <f>M48*L48</f>
        <v>85</v>
      </c>
      <c r="H48" s="324"/>
      <c r="I48" s="325">
        <f t="shared" si="61"/>
        <v>0</v>
      </c>
      <c r="J48" s="326">
        <f t="shared" si="62"/>
        <v>200</v>
      </c>
      <c r="K48" s="326">
        <f t="shared" si="63"/>
        <v>200</v>
      </c>
      <c r="L48" s="327">
        <f t="shared" si="64"/>
        <v>100</v>
      </c>
      <c r="M48" s="328">
        <f>(LARGE(N48:R48,1)+LARGE(N48:R48,2))/2</f>
        <v>0.85</v>
      </c>
      <c r="N48" s="325">
        <f>성적입력!G$5/계산도구!$AA48</f>
        <v>0.87</v>
      </c>
      <c r="O48" s="326">
        <f>성적입력!H$5/계산도구!$AA48</f>
        <v>0.83</v>
      </c>
      <c r="P48" s="329">
        <f>성적입력!I$5/계산도구!$AA48</f>
        <v>0.83</v>
      </c>
      <c r="Q48" s="329">
        <f>성적입력!J$5/계산도구!$AA48</f>
        <v>0.03</v>
      </c>
      <c r="R48" s="330"/>
      <c r="S48" s="324"/>
      <c r="T48" s="331">
        <f>성적입력!D$5/계산도구!X48</f>
        <v>0.83</v>
      </c>
      <c r="U48" s="321">
        <f>성적입력!E$5/계산도구!Y48</f>
        <v>0.65</v>
      </c>
      <c r="V48" s="323">
        <f>성적입력!F$5/계산도구!Z48</f>
        <v>0.82</v>
      </c>
      <c r="W48" s="332"/>
      <c r="X48" s="320">
        <v>100</v>
      </c>
      <c r="Y48" s="333">
        <v>100</v>
      </c>
      <c r="Z48" s="333">
        <v>100</v>
      </c>
      <c r="AA48" s="333">
        <v>100</v>
      </c>
      <c r="AB48" s="334"/>
      <c r="AC48" s="324"/>
      <c r="AD48" s="1096"/>
      <c r="AE48" s="963">
        <v>0.4</v>
      </c>
      <c r="AF48" s="963">
        <v>0.4</v>
      </c>
      <c r="AG48" s="964">
        <v>0.2</v>
      </c>
      <c r="AH48" s="324" t="s">
        <v>132</v>
      </c>
      <c r="AI48" s="274"/>
      <c r="AJ48" s="335"/>
      <c r="AK48" s="713"/>
      <c r="AV48" s="714"/>
      <c r="AW48" s="320"/>
    </row>
    <row r="49" spans="1:49" s="315" customFormat="1" ht="14.25" thickBot="1">
      <c r="A49" s="892" t="s">
        <v>296</v>
      </c>
      <c r="B49" s="302" t="s">
        <v>107</v>
      </c>
      <c r="C49" s="303">
        <v>500</v>
      </c>
      <c r="D49" s="304">
        <f t="shared" si="59"/>
        <v>83</v>
      </c>
      <c r="E49" s="304">
        <f>IF(성적입력!$K$4="나형",U49*J49,U49*J49*1.1)</f>
        <v>107.25000000000001</v>
      </c>
      <c r="F49" s="304">
        <f t="shared" si="60"/>
        <v>122.99999999999999</v>
      </c>
      <c r="G49" s="313">
        <f>M49*L49</f>
        <v>85</v>
      </c>
      <c r="H49" s="305"/>
      <c r="I49" s="306">
        <f t="shared" si="61"/>
        <v>100</v>
      </c>
      <c r="J49" s="307">
        <f t="shared" si="62"/>
        <v>150</v>
      </c>
      <c r="K49" s="307">
        <f t="shared" si="63"/>
        <v>150</v>
      </c>
      <c r="L49" s="308">
        <f t="shared" si="64"/>
        <v>100</v>
      </c>
      <c r="M49" s="309">
        <f>(LARGE(N49:R49,1)+LARGE(N49:R49,2))/2</f>
        <v>0.85</v>
      </c>
      <c r="N49" s="306">
        <f>성적입력!G$5/계산도구!$AA49</f>
        <v>0.87</v>
      </c>
      <c r="O49" s="307">
        <f>성적입력!H$5/계산도구!$AA49</f>
        <v>0.83</v>
      </c>
      <c r="P49" s="310">
        <f>성적입력!I$5/계산도구!$AA49</f>
        <v>0.83</v>
      </c>
      <c r="Q49" s="310">
        <f>성적입력!J$5/계산도구!$AA49</f>
        <v>0.03</v>
      </c>
      <c r="R49" s="311"/>
      <c r="S49" s="305"/>
      <c r="T49" s="312">
        <f>성적입력!D$5/계산도구!X49</f>
        <v>0.83</v>
      </c>
      <c r="U49" s="304">
        <f>성적입력!E$5/계산도구!Y49</f>
        <v>0.65</v>
      </c>
      <c r="V49" s="313">
        <f>성적입력!F$5/계산도구!Z49</f>
        <v>0.82</v>
      </c>
      <c r="W49" s="314"/>
      <c r="X49" s="303">
        <v>100</v>
      </c>
      <c r="Y49" s="315">
        <v>100</v>
      </c>
      <c r="Z49" s="315">
        <v>100</v>
      </c>
      <c r="AA49" s="315">
        <v>100</v>
      </c>
      <c r="AB49" s="301"/>
      <c r="AC49" s="305"/>
      <c r="AD49" s="1066">
        <v>0.2</v>
      </c>
      <c r="AE49" s="1067">
        <v>0.3</v>
      </c>
      <c r="AF49" s="1067">
        <v>0.3</v>
      </c>
      <c r="AG49" s="1068">
        <v>0.2</v>
      </c>
      <c r="AH49" s="305" t="s">
        <v>132</v>
      </c>
      <c r="AI49" s="661"/>
      <c r="AJ49" s="399"/>
      <c r="AK49" s="711"/>
      <c r="AV49" s="712"/>
      <c r="AW49" s="303"/>
    </row>
    <row r="50" spans="1:49" s="363" customFormat="1">
      <c r="A50" s="901" t="s">
        <v>297</v>
      </c>
      <c r="B50" s="838" t="s">
        <v>250</v>
      </c>
      <c r="C50" s="835">
        <v>800</v>
      </c>
      <c r="D50" s="352">
        <f t="shared" si="59"/>
        <v>48</v>
      </c>
      <c r="E50" s="352">
        <f>IF(성적입력!$K$4="나형",U50*J50,U50*J50*1.1)</f>
        <v>193.60000000000002</v>
      </c>
      <c r="F50" s="352">
        <f t="shared" si="60"/>
        <v>145.19999999999999</v>
      </c>
      <c r="G50" s="353">
        <f>M50*L50</f>
        <v>100</v>
      </c>
      <c r="H50" s="354"/>
      <c r="I50" s="355">
        <f t="shared" si="61"/>
        <v>80</v>
      </c>
      <c r="J50" s="356">
        <f t="shared" si="62"/>
        <v>320</v>
      </c>
      <c r="K50" s="356">
        <f t="shared" si="63"/>
        <v>240</v>
      </c>
      <c r="L50" s="357">
        <f t="shared" si="64"/>
        <v>160</v>
      </c>
      <c r="M50" s="358">
        <f>(LARGE(N50:R50,1)+LARGE(N50:R50,2))/2</f>
        <v>0.625</v>
      </c>
      <c r="N50" s="355">
        <f>성적입력!G$4/$AA50</f>
        <v>0.63</v>
      </c>
      <c r="O50" s="356">
        <f>성적입력!H$4/$AA50</f>
        <v>0.61</v>
      </c>
      <c r="P50" s="359">
        <f>성적입력!I$4/$AA50</f>
        <v>0.62</v>
      </c>
      <c r="Q50" s="359">
        <f>성적입력!J$4/$AA50</f>
        <v>0.36</v>
      </c>
      <c r="R50" s="360"/>
      <c r="S50" s="354"/>
      <c r="T50" s="361">
        <f>성적입력!D$4/계산도구!X50</f>
        <v>0.6</v>
      </c>
      <c r="U50" s="352">
        <f>성적입력!E$4/계산도구!Y50</f>
        <v>0.55000000000000004</v>
      </c>
      <c r="V50" s="353">
        <f>성적입력!F$4/계산도구!Z50</f>
        <v>0.60499999999999998</v>
      </c>
      <c r="W50" s="362"/>
      <c r="X50" s="351">
        <v>200</v>
      </c>
      <c r="Y50" s="363">
        <v>200</v>
      </c>
      <c r="Z50" s="363">
        <v>200</v>
      </c>
      <c r="AA50" s="363">
        <v>100</v>
      </c>
      <c r="AB50" s="364"/>
      <c r="AC50" s="354"/>
      <c r="AD50" s="1121">
        <v>0.1</v>
      </c>
      <c r="AE50" s="1122">
        <v>0.4</v>
      </c>
      <c r="AF50" s="1122">
        <v>0.3</v>
      </c>
      <c r="AG50" s="1122">
        <v>0.2</v>
      </c>
      <c r="AH50" s="363" t="s">
        <v>245</v>
      </c>
      <c r="AI50" s="364"/>
      <c r="AJ50" s="350"/>
      <c r="AK50" s="726"/>
      <c r="AV50" s="727"/>
      <c r="AW50" s="351"/>
    </row>
    <row r="51" spans="1:49" s="378" customFormat="1">
      <c r="A51" s="902" t="s">
        <v>298</v>
      </c>
      <c r="B51" s="549" t="s">
        <v>251</v>
      </c>
      <c r="C51" s="836">
        <v>800</v>
      </c>
      <c r="D51" s="367">
        <f t="shared" si="59"/>
        <v>48</v>
      </c>
      <c r="E51" s="367">
        <f>(U51*J51)</f>
        <v>176</v>
      </c>
      <c r="F51" s="367">
        <f t="shared" si="60"/>
        <v>145.19999999999999</v>
      </c>
      <c r="G51" s="368">
        <f>M51*L51</f>
        <v>100</v>
      </c>
      <c r="H51" s="369"/>
      <c r="I51" s="370">
        <f t="shared" si="61"/>
        <v>80</v>
      </c>
      <c r="J51" s="371">
        <f t="shared" si="62"/>
        <v>320</v>
      </c>
      <c r="K51" s="371">
        <f t="shared" si="63"/>
        <v>240</v>
      </c>
      <c r="L51" s="372">
        <f t="shared" si="64"/>
        <v>160</v>
      </c>
      <c r="M51" s="373">
        <f t="shared" ref="M51:M52" si="65">(LARGE(N51:R51,1)+LARGE(N51:R51,2))/2</f>
        <v>0.625</v>
      </c>
      <c r="N51" s="370">
        <f>성적입력!G$4/$AA51</f>
        <v>0.63</v>
      </c>
      <c r="O51" s="371">
        <f>성적입력!H$4/$AA51</f>
        <v>0.61</v>
      </c>
      <c r="P51" s="374">
        <f>성적입력!I$4/$AA51</f>
        <v>0.62</v>
      </c>
      <c r="Q51" s="374">
        <f>성적입력!J$4/$AA51</f>
        <v>0.36</v>
      </c>
      <c r="R51" s="375"/>
      <c r="S51" s="369"/>
      <c r="T51" s="376">
        <f>성적입력!D$4/계산도구!X51</f>
        <v>0.6</v>
      </c>
      <c r="U51" s="367">
        <f>성적입력!E$4/계산도구!Y51</f>
        <v>0.55000000000000004</v>
      </c>
      <c r="V51" s="368">
        <f>성적입력!F$4/계산도구!Z51</f>
        <v>0.60499999999999998</v>
      </c>
      <c r="W51" s="377"/>
      <c r="X51" s="366">
        <v>200</v>
      </c>
      <c r="Y51" s="378">
        <v>200</v>
      </c>
      <c r="Z51" s="378">
        <v>200</v>
      </c>
      <c r="AA51" s="378">
        <v>100</v>
      </c>
      <c r="AB51" s="379"/>
      <c r="AC51" s="369"/>
      <c r="AD51" s="1123">
        <v>0.1</v>
      </c>
      <c r="AE51" s="1124">
        <v>0.4</v>
      </c>
      <c r="AF51" s="1124">
        <v>0.3</v>
      </c>
      <c r="AG51" s="1124">
        <v>0.2</v>
      </c>
      <c r="AH51" s="378" t="s">
        <v>84</v>
      </c>
      <c r="AI51" s="379"/>
      <c r="AJ51" s="365"/>
      <c r="AK51" s="728"/>
      <c r="AV51" s="729"/>
      <c r="AW51" s="366"/>
    </row>
    <row r="52" spans="1:49" s="563" customFormat="1" ht="14.25" thickBot="1">
      <c r="A52" s="903" t="s">
        <v>332</v>
      </c>
      <c r="B52" s="839" t="s">
        <v>249</v>
      </c>
      <c r="C52" s="837">
        <v>800</v>
      </c>
      <c r="D52" s="552">
        <f t="shared" si="59"/>
        <v>48</v>
      </c>
      <c r="E52" s="552">
        <f>IF(성적입력!$K$4="나형",U52*J52,U52*J52*1.1)</f>
        <v>193.60000000000002</v>
      </c>
      <c r="F52" s="552">
        <f t="shared" si="60"/>
        <v>145.19999999999999</v>
      </c>
      <c r="G52" s="553">
        <f>M52*1.05*L52</f>
        <v>105</v>
      </c>
      <c r="H52" s="554"/>
      <c r="I52" s="555">
        <f t="shared" si="61"/>
        <v>80</v>
      </c>
      <c r="J52" s="556">
        <f t="shared" si="62"/>
        <v>320</v>
      </c>
      <c r="K52" s="556">
        <f t="shared" si="63"/>
        <v>240</v>
      </c>
      <c r="L52" s="557">
        <f t="shared" si="64"/>
        <v>160</v>
      </c>
      <c r="M52" s="558">
        <f t="shared" si="65"/>
        <v>0.625</v>
      </c>
      <c r="N52" s="555">
        <f>성적입력!G$4/$AA52</f>
        <v>0.63</v>
      </c>
      <c r="O52" s="556">
        <f>성적입력!H$4/$AA52</f>
        <v>0.61</v>
      </c>
      <c r="P52" s="559">
        <f>성적입력!I$4/$AA52</f>
        <v>0.62</v>
      </c>
      <c r="Q52" s="559">
        <f>성적입력!J$4/$AA52</f>
        <v>0.36</v>
      </c>
      <c r="R52" s="560"/>
      <c r="S52" s="554"/>
      <c r="T52" s="561">
        <f>성적입력!D$4/계산도구!X52</f>
        <v>0.6</v>
      </c>
      <c r="U52" s="552">
        <f>성적입력!E$4/계산도구!Y52</f>
        <v>0.55000000000000004</v>
      </c>
      <c r="V52" s="553">
        <f>성적입력!F$4/계산도구!Z52</f>
        <v>0.60499999999999998</v>
      </c>
      <c r="W52" s="562"/>
      <c r="X52" s="551">
        <v>200</v>
      </c>
      <c r="Y52" s="563">
        <v>200</v>
      </c>
      <c r="Z52" s="563">
        <v>200</v>
      </c>
      <c r="AA52" s="563">
        <v>100</v>
      </c>
      <c r="AB52" s="564"/>
      <c r="AC52" s="554"/>
      <c r="AD52" s="982">
        <v>0.1</v>
      </c>
      <c r="AE52" s="983">
        <v>0.4</v>
      </c>
      <c r="AF52" s="983">
        <v>0.3</v>
      </c>
      <c r="AG52" s="983">
        <v>0.2</v>
      </c>
      <c r="AH52" s="563" t="s">
        <v>245</v>
      </c>
      <c r="AI52" s="564" t="s">
        <v>252</v>
      </c>
      <c r="AJ52" s="550"/>
      <c r="AK52" s="730"/>
      <c r="AV52" s="731"/>
      <c r="AW52" s="551"/>
    </row>
    <row r="53" spans="1:49" s="420" customFormat="1">
      <c r="A53" s="904" t="s">
        <v>299</v>
      </c>
      <c r="B53" s="407" t="s">
        <v>108</v>
      </c>
      <c r="C53" s="565">
        <v>900</v>
      </c>
      <c r="D53" s="409">
        <f t="shared" si="59"/>
        <v>108</v>
      </c>
      <c r="E53" s="409">
        <f>U53*J53</f>
        <v>148.5</v>
      </c>
      <c r="F53" s="409">
        <f t="shared" si="60"/>
        <v>163.35</v>
      </c>
      <c r="G53" s="410">
        <f t="shared" ref="G53:G66" si="66">M53*L53</f>
        <v>112.5</v>
      </c>
      <c r="H53" s="411"/>
      <c r="I53" s="412">
        <f t="shared" si="61"/>
        <v>180</v>
      </c>
      <c r="J53" s="413">
        <f t="shared" si="62"/>
        <v>270</v>
      </c>
      <c r="K53" s="413">
        <f t="shared" si="63"/>
        <v>270</v>
      </c>
      <c r="L53" s="414">
        <f t="shared" si="64"/>
        <v>180</v>
      </c>
      <c r="M53" s="415">
        <f>((LARGE(N53:R53,1)+LARGE(N53:R53,2)))/2</f>
        <v>0.625</v>
      </c>
      <c r="N53" s="412">
        <f>성적입력!G$4/$AA53</f>
        <v>0.63</v>
      </c>
      <c r="O53" s="413">
        <f>성적입력!H$4/$AA53</f>
        <v>0.61</v>
      </c>
      <c r="P53" s="416">
        <f>성적입력!I$4/$AA53</f>
        <v>0.62</v>
      </c>
      <c r="Q53" s="416">
        <f>성적입력!J$4/$AA53</f>
        <v>0.36</v>
      </c>
      <c r="R53" s="417"/>
      <c r="S53" s="411"/>
      <c r="T53" s="418">
        <f>성적입력!D$4/계산도구!X53</f>
        <v>0.6</v>
      </c>
      <c r="U53" s="409">
        <f>성적입력!E$4/계산도구!Y53</f>
        <v>0.55000000000000004</v>
      </c>
      <c r="V53" s="410">
        <f>성적입력!F$4/계산도구!Z53</f>
        <v>0.60499999999999998</v>
      </c>
      <c r="W53" s="419"/>
      <c r="X53" s="408">
        <v>200</v>
      </c>
      <c r="Y53" s="420">
        <v>200</v>
      </c>
      <c r="Z53" s="420">
        <v>200</v>
      </c>
      <c r="AA53" s="420">
        <v>100</v>
      </c>
      <c r="AB53" s="421"/>
      <c r="AC53" s="411"/>
      <c r="AD53" s="1125">
        <v>0.2</v>
      </c>
      <c r="AE53" s="1126">
        <v>0.3</v>
      </c>
      <c r="AF53" s="1126">
        <v>0.3</v>
      </c>
      <c r="AG53" s="1126">
        <v>0.2</v>
      </c>
      <c r="AI53" s="421"/>
      <c r="AJ53" s="684"/>
      <c r="AK53" s="732"/>
      <c r="AV53" s="733"/>
      <c r="AW53" s="408"/>
    </row>
    <row r="54" spans="1:49" s="434" customFormat="1" ht="14.25" thickBot="1">
      <c r="A54" s="903" t="s">
        <v>300</v>
      </c>
      <c r="B54" s="422" t="s">
        <v>198</v>
      </c>
      <c r="C54" s="423">
        <v>900</v>
      </c>
      <c r="D54" s="424">
        <f t="shared" si="59"/>
        <v>135</v>
      </c>
      <c r="E54" s="424">
        <f>IF(성적입력!$K$4="나형",U54*J54,U54*J54*1.1)</f>
        <v>136.12500000000003</v>
      </c>
      <c r="F54" s="424">
        <f t="shared" si="60"/>
        <v>163.35</v>
      </c>
      <c r="G54" s="425">
        <f t="shared" si="66"/>
        <v>112.5</v>
      </c>
      <c r="H54" s="422"/>
      <c r="I54" s="426">
        <f t="shared" si="61"/>
        <v>225</v>
      </c>
      <c r="J54" s="427">
        <f t="shared" si="62"/>
        <v>225</v>
      </c>
      <c r="K54" s="427">
        <f t="shared" si="63"/>
        <v>270</v>
      </c>
      <c r="L54" s="428">
        <f t="shared" si="64"/>
        <v>180</v>
      </c>
      <c r="M54" s="429">
        <f>((LARGE(N54:R54,1)+LARGE(N54:R54,2)))/2</f>
        <v>0.625</v>
      </c>
      <c r="N54" s="426">
        <f>성적입력!G$4/$AA54</f>
        <v>0.63</v>
      </c>
      <c r="O54" s="427">
        <f>성적입력!H$4/$AA54</f>
        <v>0.61</v>
      </c>
      <c r="P54" s="430">
        <f>성적입력!I$4/$AA54</f>
        <v>0.62</v>
      </c>
      <c r="Q54" s="430">
        <f>성적입력!J$4/$AA54</f>
        <v>0.36</v>
      </c>
      <c r="R54" s="431"/>
      <c r="S54" s="422"/>
      <c r="T54" s="432">
        <f>성적입력!D$4/계산도구!X54</f>
        <v>0.6</v>
      </c>
      <c r="U54" s="424">
        <f>성적입력!E$4/계산도구!Y54</f>
        <v>0.55000000000000004</v>
      </c>
      <c r="V54" s="425">
        <f>성적입력!F$4/계산도구!Z54</f>
        <v>0.60499999999999998</v>
      </c>
      <c r="W54" s="433"/>
      <c r="X54" s="423">
        <v>200</v>
      </c>
      <c r="Y54" s="434">
        <v>200</v>
      </c>
      <c r="Z54" s="434">
        <v>200</v>
      </c>
      <c r="AA54" s="434">
        <v>100</v>
      </c>
      <c r="AB54" s="435"/>
      <c r="AC54" s="422"/>
      <c r="AD54" s="1127">
        <v>0.25</v>
      </c>
      <c r="AE54" s="1128">
        <v>0.25</v>
      </c>
      <c r="AF54" s="1128">
        <v>0.3</v>
      </c>
      <c r="AG54" s="1128">
        <v>0.2</v>
      </c>
      <c r="AH54" s="434" t="s">
        <v>195</v>
      </c>
      <c r="AI54" s="435"/>
      <c r="AJ54" s="685"/>
      <c r="AK54" s="734"/>
      <c r="AV54" s="735"/>
      <c r="AW54" s="423"/>
    </row>
    <row r="55" spans="1:49" s="172" customFormat="1">
      <c r="A55" s="905" t="s">
        <v>301</v>
      </c>
      <c r="B55" s="154" t="s">
        <v>108</v>
      </c>
      <c r="C55" s="107">
        <v>700</v>
      </c>
      <c r="D55" s="108">
        <f t="shared" si="59"/>
        <v>60</v>
      </c>
      <c r="E55" s="108">
        <f>IF(성적입력!$K$4="나형",U55*J55,U55*J55*1.05)</f>
        <v>158.52941176470588</v>
      </c>
      <c r="F55" s="108">
        <f t="shared" si="60"/>
        <v>178.94366197183098</v>
      </c>
      <c r="G55" s="109">
        <f t="shared" si="66"/>
        <v>184.82789855072463</v>
      </c>
      <c r="H55" s="173"/>
      <c r="I55" s="110">
        <f t="shared" si="61"/>
        <v>70</v>
      </c>
      <c r="J55" s="111">
        <f t="shared" si="62"/>
        <v>210</v>
      </c>
      <c r="K55" s="111">
        <f t="shared" si="63"/>
        <v>210</v>
      </c>
      <c r="L55" s="118">
        <f t="shared" si="64"/>
        <v>210</v>
      </c>
      <c r="M55" s="179">
        <f>(LARGE($N55:$R55,1)+LARGE($N55:$R55,2))/2</f>
        <v>0.88013285024154586</v>
      </c>
      <c r="N55" s="110">
        <f>IF(성적입력!G$3=0,0,성적입력!G$4/HLOOKUP(성적입력!G$3,계산도구!$AO$1:$AV$3,2,FALSE))</f>
        <v>0.91304347826086951</v>
      </c>
      <c r="O55" s="111">
        <f>IF(성적입력!H$3=0,0,성적입력!H$4/HLOOKUP(성적입력!H$3,계산도구!$AO$1:$AV$3,2,FALSE))</f>
        <v>0.84722222222222221</v>
      </c>
      <c r="P55" s="121">
        <f>IF(성적입력!I$3=0,0,성적입력!I$4/HLOOKUP(성적입력!I$3,계산도구!$AO$1:$AV$3,2,FALSE))</f>
        <v>0.82666666666666666</v>
      </c>
      <c r="Q55" s="121">
        <f>IF(성적입력!J$3=0,0,성적입력!J$4/HLOOKUP(성적입력!J$3,계산도구!$AO$1:$AV$3,2,FALSE))</f>
        <v>0.50704225352112675</v>
      </c>
      <c r="R55" s="115"/>
      <c r="S55" s="173"/>
      <c r="T55" s="112">
        <f>성적입력!D$4/계산도구!X55</f>
        <v>0.8571428571428571</v>
      </c>
      <c r="U55" s="108">
        <f>성적입력!E$4/계산도구!Y55</f>
        <v>0.71895424836601307</v>
      </c>
      <c r="V55" s="109">
        <f>성적입력!F$4/계산도구!Z55</f>
        <v>0.852112676056338</v>
      </c>
      <c r="W55" s="113"/>
      <c r="X55" s="107">
        <f t="shared" ref="X55:X56" si="67">AK$2</f>
        <v>140</v>
      </c>
      <c r="Y55" s="107">
        <f>IF(성적입력!$K$4="가형",AL$2,AM$2)</f>
        <v>153</v>
      </c>
      <c r="Z55" s="107">
        <f t="shared" ref="Z55:Z56" si="68">AN$2</f>
        <v>142</v>
      </c>
      <c r="AB55" s="114"/>
      <c r="AC55" s="173"/>
      <c r="AD55" s="1129">
        <v>0.1</v>
      </c>
      <c r="AE55" s="1016">
        <v>0.3</v>
      </c>
      <c r="AF55" s="1016">
        <v>0.3</v>
      </c>
      <c r="AG55" s="1016">
        <v>0.3</v>
      </c>
      <c r="AH55" s="1420" t="s">
        <v>133</v>
      </c>
      <c r="AI55" s="114"/>
      <c r="AJ55" s="106"/>
      <c r="AK55" s="704"/>
      <c r="AL55" s="616"/>
      <c r="AM55" s="766"/>
      <c r="AN55" s="616"/>
      <c r="AO55" s="616"/>
      <c r="AP55" s="616"/>
      <c r="AQ55" s="616"/>
      <c r="AR55" s="616"/>
      <c r="AS55" s="616"/>
      <c r="AT55" s="616"/>
      <c r="AU55" s="616"/>
      <c r="AV55" s="705"/>
      <c r="AW55" s="107"/>
    </row>
    <row r="56" spans="1:49" s="40" customFormat="1" ht="14.25" thickBot="1">
      <c r="A56" s="882" t="s">
        <v>302</v>
      </c>
      <c r="B56" s="155" t="s">
        <v>106</v>
      </c>
      <c r="C56" s="83">
        <v>700</v>
      </c>
      <c r="D56" s="84">
        <f t="shared" si="59"/>
        <v>180</v>
      </c>
      <c r="E56" s="84">
        <f>IF(성적입력!$K$4="나형",U56*J56,U56*J56*1.05)</f>
        <v>158.52941176470588</v>
      </c>
      <c r="F56" s="84">
        <f t="shared" si="60"/>
        <v>178.94366197183098</v>
      </c>
      <c r="G56" s="85">
        <f t="shared" si="66"/>
        <v>61.609299516908209</v>
      </c>
      <c r="H56" s="44"/>
      <c r="I56" s="86">
        <f t="shared" si="61"/>
        <v>210</v>
      </c>
      <c r="J56" s="87">
        <f t="shared" si="62"/>
        <v>210</v>
      </c>
      <c r="K56" s="87">
        <f t="shared" si="63"/>
        <v>210</v>
      </c>
      <c r="L56" s="120">
        <f t="shared" si="64"/>
        <v>70</v>
      </c>
      <c r="M56" s="180">
        <f>(LARGE($N56:$R56,1)+LARGE($N56:$R56,2))/2</f>
        <v>0.88013285024154586</v>
      </c>
      <c r="N56" s="86">
        <f>IF(성적입력!G$3=0,0,성적입력!G$4/HLOOKUP(성적입력!G$3,계산도구!$AO$1:$AV$3,2,FALSE))</f>
        <v>0.91304347826086951</v>
      </c>
      <c r="O56" s="87">
        <f>IF(성적입력!H$3=0,0,성적입력!H$4/HLOOKUP(성적입력!H$3,계산도구!$AO$1:$AV$3,2,FALSE))</f>
        <v>0.84722222222222221</v>
      </c>
      <c r="P56" s="88">
        <f>IF(성적입력!I$3=0,0,성적입력!I$4/HLOOKUP(성적입력!I$3,계산도구!$AO$1:$AV$3,2,FALSE))</f>
        <v>0.82666666666666666</v>
      </c>
      <c r="Q56" s="88">
        <f>IF(성적입력!J$3=0,0,성적입력!J$4/HLOOKUP(성적입력!J$3,계산도구!$AO$1:$AV$3,2,FALSE))</f>
        <v>0.50704225352112675</v>
      </c>
      <c r="R56" s="89"/>
      <c r="S56" s="44"/>
      <c r="T56" s="90">
        <f>성적입력!D$4/계산도구!X56</f>
        <v>0.8571428571428571</v>
      </c>
      <c r="U56" s="84">
        <f>성적입력!E$4/계산도구!Y56</f>
        <v>0.71895424836601307</v>
      </c>
      <c r="V56" s="85">
        <f>성적입력!F$4/계산도구!Z56</f>
        <v>0.852112676056338</v>
      </c>
      <c r="W56" s="91"/>
      <c r="X56" s="83">
        <f t="shared" si="67"/>
        <v>140</v>
      </c>
      <c r="Y56" s="83">
        <f>IF(성적입력!$K$4="가형",AL$2,AM$2)</f>
        <v>153</v>
      </c>
      <c r="Z56" s="83">
        <f t="shared" si="68"/>
        <v>142</v>
      </c>
      <c r="AB56" s="92"/>
      <c r="AC56" s="44"/>
      <c r="AD56" s="1075">
        <v>0.3</v>
      </c>
      <c r="AE56" s="1019">
        <v>0.3</v>
      </c>
      <c r="AF56" s="1019">
        <v>0.3</v>
      </c>
      <c r="AG56" s="1019">
        <v>0.1</v>
      </c>
      <c r="AH56" s="1421"/>
      <c r="AI56" s="92"/>
      <c r="AJ56" s="82"/>
      <c r="AK56" s="35"/>
      <c r="AV56" s="62"/>
      <c r="AW56" s="83"/>
    </row>
    <row r="57" spans="1:49" s="333" customFormat="1">
      <c r="A57" s="891" t="s">
        <v>397</v>
      </c>
      <c r="B57" s="319" t="s">
        <v>401</v>
      </c>
      <c r="C57" s="1154">
        <v>1000</v>
      </c>
      <c r="D57" s="321">
        <f t="shared" si="59"/>
        <v>83</v>
      </c>
      <c r="E57" s="321">
        <f>IF(성적입력!$K$4="나형",U57*J57,U57*J57*1.05)</f>
        <v>238.875</v>
      </c>
      <c r="F57" s="321">
        <f t="shared" si="60"/>
        <v>287</v>
      </c>
      <c r="G57" s="323">
        <f>M57*L57</f>
        <v>174</v>
      </c>
      <c r="H57" s="324"/>
      <c r="I57" s="325">
        <f t="shared" si="61"/>
        <v>100</v>
      </c>
      <c r="J57" s="326">
        <f t="shared" si="62"/>
        <v>350</v>
      </c>
      <c r="K57" s="326">
        <f t="shared" si="63"/>
        <v>350</v>
      </c>
      <c r="L57" s="327">
        <f t="shared" si="64"/>
        <v>200</v>
      </c>
      <c r="M57" s="610">
        <f>(LARGE($N57:$R57,1))</f>
        <v>0.87</v>
      </c>
      <c r="N57" s="325">
        <f>성적입력!G$5/계산도구!$AA57</f>
        <v>0.87</v>
      </c>
      <c r="O57" s="326">
        <f>성적입력!H$5/계산도구!$AA57</f>
        <v>0.83</v>
      </c>
      <c r="P57" s="329">
        <f>성적입력!I$5/계산도구!$AA57</f>
        <v>0.83</v>
      </c>
      <c r="Q57" s="329">
        <f>성적입력!J$5/계산도구!$AA57</f>
        <v>0.03</v>
      </c>
      <c r="R57" s="330"/>
      <c r="S57" s="324"/>
      <c r="T57" s="331">
        <f>성적입력!D$5/계산도구!X57</f>
        <v>0.83</v>
      </c>
      <c r="U57" s="321">
        <f>성적입력!E$5/계산도구!Y57</f>
        <v>0.65</v>
      </c>
      <c r="V57" s="323">
        <f>성적입력!F$5/계산도구!Z57</f>
        <v>0.82</v>
      </c>
      <c r="W57" s="332"/>
      <c r="X57" s="1154">
        <v>100</v>
      </c>
      <c r="Y57" s="333">
        <v>100</v>
      </c>
      <c r="Z57" s="333">
        <v>100</v>
      </c>
      <c r="AA57" s="333">
        <v>100</v>
      </c>
      <c r="AB57" s="1153"/>
      <c r="AC57" s="324"/>
      <c r="AD57" s="1096">
        <v>0.1</v>
      </c>
      <c r="AE57" s="963">
        <v>0.35</v>
      </c>
      <c r="AF57" s="963">
        <v>0.35</v>
      </c>
      <c r="AG57" s="963">
        <v>0.2</v>
      </c>
      <c r="AH57" s="333" t="s">
        <v>403</v>
      </c>
      <c r="AI57" s="1153" t="s">
        <v>404</v>
      </c>
      <c r="AJ57" s="335"/>
      <c r="AK57" s="713"/>
      <c r="AV57" s="714"/>
      <c r="AW57" s="1154"/>
    </row>
    <row r="58" spans="1:49" s="137" customFormat="1">
      <c r="A58" s="880" t="s">
        <v>398</v>
      </c>
      <c r="B58" s="275" t="s">
        <v>400</v>
      </c>
      <c r="C58" s="136">
        <v>1000</v>
      </c>
      <c r="D58" s="276">
        <f t="shared" ref="D58:D60" si="69">T58*I58</f>
        <v>0</v>
      </c>
      <c r="E58" s="276">
        <f>IF(성적입력!$K$4="나형",U58*J58,U58*J58*1.05)</f>
        <v>273</v>
      </c>
      <c r="F58" s="276">
        <f t="shared" ref="F58:F60" si="70">V58*K58</f>
        <v>328</v>
      </c>
      <c r="G58" s="277">
        <f>M58*L58*1.02</f>
        <v>177.48</v>
      </c>
      <c r="H58" s="135"/>
      <c r="I58" s="278">
        <f t="shared" ref="I58:I60" si="71">AD58*$C58</f>
        <v>0</v>
      </c>
      <c r="J58" s="279">
        <f t="shared" ref="J58:J60" si="72">AE58*$C58</f>
        <v>400</v>
      </c>
      <c r="K58" s="279">
        <f t="shared" ref="K58:K60" si="73">AF58*$C58</f>
        <v>400</v>
      </c>
      <c r="L58" s="280">
        <f t="shared" ref="L58:L60" si="74">AG58*$C58</f>
        <v>200</v>
      </c>
      <c r="M58" s="1162">
        <f>(LARGE($N58:$R58,1))</f>
        <v>0.87</v>
      </c>
      <c r="N58" s="278">
        <f>성적입력!G$5/계산도구!$AA58</f>
        <v>0.87</v>
      </c>
      <c r="O58" s="279">
        <f>성적입력!H$5/계산도구!$AA58</f>
        <v>0.83</v>
      </c>
      <c r="P58" s="282">
        <f>성적입력!I$5/계산도구!$AA58</f>
        <v>0.83</v>
      </c>
      <c r="Q58" s="282">
        <f>성적입력!J$5/계산도구!$AA58</f>
        <v>0.03</v>
      </c>
      <c r="R58" s="283"/>
      <c r="S58" s="135"/>
      <c r="T58" s="284">
        <f>성적입력!D$5/계산도구!X58</f>
        <v>0.83</v>
      </c>
      <c r="U58" s="276">
        <f>성적입력!E$5/계산도구!Y58</f>
        <v>0.65</v>
      </c>
      <c r="V58" s="277">
        <f>성적입력!F$5/계산도구!Z58</f>
        <v>0.82</v>
      </c>
      <c r="W58" s="285"/>
      <c r="X58" s="136">
        <v>100</v>
      </c>
      <c r="Y58" s="137">
        <v>100</v>
      </c>
      <c r="Z58" s="137">
        <v>100</v>
      </c>
      <c r="AA58" s="137">
        <v>100</v>
      </c>
      <c r="AB58" s="138"/>
      <c r="AC58" s="135"/>
      <c r="AD58" s="1063"/>
      <c r="AE58" s="1064">
        <v>0.4</v>
      </c>
      <c r="AF58" s="1064">
        <v>0.4</v>
      </c>
      <c r="AG58" s="1064">
        <v>0.2</v>
      </c>
      <c r="AH58" s="137" t="s">
        <v>404</v>
      </c>
      <c r="AI58" s="138" t="s">
        <v>405</v>
      </c>
      <c r="AJ58" s="676"/>
      <c r="AK58" s="702"/>
      <c r="AV58" s="703"/>
      <c r="AW58" s="136"/>
    </row>
    <row r="59" spans="1:49" s="1176" customFormat="1">
      <c r="A59" s="1163" t="s">
        <v>399</v>
      </c>
      <c r="B59" s="1164" t="s">
        <v>402</v>
      </c>
      <c r="C59" s="1165">
        <v>1000</v>
      </c>
      <c r="D59" s="1166">
        <f t="shared" si="69"/>
        <v>83</v>
      </c>
      <c r="E59" s="1166">
        <f>IF(성적입력!$K$4="나형",U59*J59,U59*J59*1.05)</f>
        <v>238.875</v>
      </c>
      <c r="F59" s="1166">
        <f t="shared" si="70"/>
        <v>287</v>
      </c>
      <c r="G59" s="1167">
        <f>M59*L59*1.02</f>
        <v>173.4</v>
      </c>
      <c r="H59" s="1168"/>
      <c r="I59" s="1169">
        <f t="shared" si="71"/>
        <v>100</v>
      </c>
      <c r="J59" s="1170">
        <f t="shared" si="72"/>
        <v>350</v>
      </c>
      <c r="K59" s="1170">
        <f t="shared" si="73"/>
        <v>350</v>
      </c>
      <c r="L59" s="1171">
        <f t="shared" si="74"/>
        <v>200</v>
      </c>
      <c r="M59" s="1161">
        <f t="shared" ref="M59:M60" si="75">(LARGE($N59:$R59,1)+LARGE($N59:$R59,2))/2</f>
        <v>0.85</v>
      </c>
      <c r="N59" s="1169">
        <f>성적입력!G$5/계산도구!$AA59</f>
        <v>0.87</v>
      </c>
      <c r="O59" s="1170">
        <f>성적입력!H$5/계산도구!$AA59</f>
        <v>0.83</v>
      </c>
      <c r="P59" s="1172">
        <f>성적입력!I$5/계산도구!$AA59</f>
        <v>0.83</v>
      </c>
      <c r="Q59" s="1172">
        <f>성적입력!J$5/계산도구!$AA59</f>
        <v>0.03</v>
      </c>
      <c r="R59" s="1173"/>
      <c r="S59" s="1168"/>
      <c r="T59" s="1174">
        <f>성적입력!D$5/계산도구!X59</f>
        <v>0.83</v>
      </c>
      <c r="U59" s="1166">
        <f>성적입력!E$5/계산도구!Y59</f>
        <v>0.65</v>
      </c>
      <c r="V59" s="1167">
        <f>성적입력!F$5/계산도구!Z59</f>
        <v>0.82</v>
      </c>
      <c r="W59" s="1175"/>
      <c r="X59" s="1165">
        <v>100</v>
      </c>
      <c r="Y59" s="1176">
        <v>100</v>
      </c>
      <c r="Z59" s="1176">
        <v>100</v>
      </c>
      <c r="AA59" s="1176">
        <v>100</v>
      </c>
      <c r="AB59" s="1177"/>
      <c r="AC59" s="1168"/>
      <c r="AD59" s="1178">
        <v>0.1</v>
      </c>
      <c r="AE59" s="1179">
        <v>0.35</v>
      </c>
      <c r="AF59" s="1179">
        <v>0.35</v>
      </c>
      <c r="AG59" s="1179">
        <v>0.2</v>
      </c>
      <c r="AH59" s="1176" t="s">
        <v>404</v>
      </c>
      <c r="AI59" s="1177" t="s">
        <v>405</v>
      </c>
      <c r="AJ59" s="1180"/>
      <c r="AK59" s="1181"/>
      <c r="AV59" s="1182"/>
      <c r="AW59" s="1165"/>
    </row>
    <row r="60" spans="1:49" s="141" customFormat="1" ht="14.25" thickBot="1">
      <c r="A60" s="893" t="s">
        <v>395</v>
      </c>
      <c r="B60" s="778" t="s">
        <v>109</v>
      </c>
      <c r="C60" s="1156">
        <v>1000</v>
      </c>
      <c r="D60" s="779">
        <f t="shared" si="69"/>
        <v>83</v>
      </c>
      <c r="E60" s="779">
        <f>U60*J60</f>
        <v>227.5</v>
      </c>
      <c r="F60" s="779">
        <f t="shared" si="70"/>
        <v>287</v>
      </c>
      <c r="G60" s="780">
        <f t="shared" ref="G60" si="76">M60*L60</f>
        <v>170</v>
      </c>
      <c r="H60" s="139"/>
      <c r="I60" s="781">
        <f t="shared" si="71"/>
        <v>100</v>
      </c>
      <c r="J60" s="782">
        <f t="shared" si="72"/>
        <v>350</v>
      </c>
      <c r="K60" s="782">
        <f t="shared" si="73"/>
        <v>350</v>
      </c>
      <c r="L60" s="783">
        <f t="shared" si="74"/>
        <v>200</v>
      </c>
      <c r="M60" s="969">
        <f t="shared" si="75"/>
        <v>0.85</v>
      </c>
      <c r="N60" s="781">
        <f>성적입력!G$5/계산도구!$AA60</f>
        <v>0.87</v>
      </c>
      <c r="O60" s="782">
        <f>성적입력!H$5/계산도구!$AA60</f>
        <v>0.83</v>
      </c>
      <c r="P60" s="785">
        <f>성적입력!I$5/계산도구!$AA60</f>
        <v>0.83</v>
      </c>
      <c r="Q60" s="785">
        <f>성적입력!J$5/계산도구!$AA60</f>
        <v>0.03</v>
      </c>
      <c r="R60" s="786"/>
      <c r="S60" s="139"/>
      <c r="T60" s="787">
        <f>성적입력!D$5/계산도구!X60</f>
        <v>0.83</v>
      </c>
      <c r="U60" s="779">
        <f>성적입력!E$5/계산도구!Y60</f>
        <v>0.65</v>
      </c>
      <c r="V60" s="780">
        <f>성적입력!F$5/계산도구!Z60</f>
        <v>0.82</v>
      </c>
      <c r="W60" s="788"/>
      <c r="X60" s="1156">
        <v>100</v>
      </c>
      <c r="Y60" s="141">
        <v>100</v>
      </c>
      <c r="Z60" s="141">
        <v>100</v>
      </c>
      <c r="AA60" s="141">
        <v>100</v>
      </c>
      <c r="AB60" s="1155"/>
      <c r="AC60" s="139"/>
      <c r="AD60" s="1135">
        <v>0.1</v>
      </c>
      <c r="AE60" s="967">
        <v>0.35</v>
      </c>
      <c r="AF60" s="967">
        <v>0.35</v>
      </c>
      <c r="AG60" s="967">
        <v>0.2</v>
      </c>
      <c r="AH60" s="141" t="s">
        <v>87</v>
      </c>
      <c r="AI60" s="1155"/>
      <c r="AJ60" s="777"/>
      <c r="AK60" s="790"/>
      <c r="AV60" s="791"/>
      <c r="AW60" s="1156"/>
    </row>
    <row r="61" spans="1:49" s="168" customFormat="1" ht="14.25" thickBot="1">
      <c r="A61" s="863" t="s">
        <v>303</v>
      </c>
      <c r="B61" s="159" t="s">
        <v>109</v>
      </c>
      <c r="C61" s="160">
        <v>800</v>
      </c>
      <c r="D61" s="395">
        <f t="shared" si="59"/>
        <v>166</v>
      </c>
      <c r="E61" s="395">
        <f>U61*J61</f>
        <v>130</v>
      </c>
      <c r="F61" s="395">
        <f t="shared" si="60"/>
        <v>164</v>
      </c>
      <c r="G61" s="396">
        <f t="shared" si="66"/>
        <v>170</v>
      </c>
      <c r="H61" s="165"/>
      <c r="I61" s="162">
        <f t="shared" si="61"/>
        <v>200</v>
      </c>
      <c r="J61" s="163">
        <f t="shared" si="62"/>
        <v>200</v>
      </c>
      <c r="K61" s="163">
        <f t="shared" si="63"/>
        <v>200</v>
      </c>
      <c r="L61" s="164">
        <f t="shared" si="64"/>
        <v>200</v>
      </c>
      <c r="M61" s="328">
        <f>((LARGE(N61:R61,1)+LARGE(N61:R61,2)))/2</f>
        <v>0.85</v>
      </c>
      <c r="N61" s="162">
        <f>성적입력!G$5/계산도구!$AA61</f>
        <v>0.87</v>
      </c>
      <c r="O61" s="163">
        <f>성적입력!H$5/계산도구!$AA61</f>
        <v>0.83</v>
      </c>
      <c r="P61" s="397">
        <f>성적입력!I$5/계산도구!$AA61</f>
        <v>0.83</v>
      </c>
      <c r="Q61" s="397">
        <f>성적입력!J$5/계산도구!$AA61</f>
        <v>0.03</v>
      </c>
      <c r="R61" s="398"/>
      <c r="S61" s="165"/>
      <c r="T61" s="166">
        <f>성적입력!D$5/계산도구!X61</f>
        <v>0.83</v>
      </c>
      <c r="U61" s="395">
        <f>성적입력!E$5/계산도구!Y61</f>
        <v>0.65</v>
      </c>
      <c r="V61" s="396">
        <f>성적입력!F$5/계산도구!Z61</f>
        <v>0.82</v>
      </c>
      <c r="W61" s="167"/>
      <c r="X61" s="160">
        <v>100</v>
      </c>
      <c r="Y61" s="168">
        <v>100</v>
      </c>
      <c r="Z61" s="168">
        <v>100</v>
      </c>
      <c r="AA61" s="168">
        <v>100</v>
      </c>
      <c r="AB61" s="169"/>
      <c r="AC61" s="165"/>
      <c r="AD61" s="1118">
        <v>0.25</v>
      </c>
      <c r="AE61" s="567">
        <v>0.25</v>
      </c>
      <c r="AF61" s="567">
        <v>0.25</v>
      </c>
      <c r="AG61" s="567">
        <v>0.25</v>
      </c>
      <c r="AH61" s="168" t="s">
        <v>96</v>
      </c>
      <c r="AI61" s="613"/>
      <c r="AJ61" s="158"/>
      <c r="AK61" s="724"/>
      <c r="AV61" s="725"/>
      <c r="AW61" s="615"/>
    </row>
    <row r="62" spans="1:49" s="770" customFormat="1" ht="14.25" thickBot="1">
      <c r="A62" s="906" t="s">
        <v>304</v>
      </c>
      <c r="B62" s="581" t="s">
        <v>109</v>
      </c>
      <c r="C62" s="768">
        <v>700</v>
      </c>
      <c r="D62" s="582">
        <f t="shared" ref="D62" si="77">T62*I62</f>
        <v>150</v>
      </c>
      <c r="E62" s="582">
        <f>U62*J62</f>
        <v>125.81699346405229</v>
      </c>
      <c r="F62" s="582">
        <f t="shared" ref="F62" si="78">V62*K62</f>
        <v>149.11971830985914</v>
      </c>
      <c r="G62" s="583">
        <f t="shared" ref="G62" si="79">M62*L62</f>
        <v>154.02324879227052</v>
      </c>
      <c r="H62" s="69"/>
      <c r="I62" s="584">
        <f t="shared" ref="I62" si="80">AD62*$C62</f>
        <v>175</v>
      </c>
      <c r="J62" s="585">
        <f t="shared" ref="J62" si="81">AE62*$C62</f>
        <v>175</v>
      </c>
      <c r="K62" s="585">
        <f t="shared" ref="K62" si="82">AF62*$C62</f>
        <v>175</v>
      </c>
      <c r="L62" s="586">
        <f t="shared" ref="L62" si="83">AG62*$C62</f>
        <v>175</v>
      </c>
      <c r="M62" s="587">
        <f>((LARGE(N62:R62,1)+LARGE(N62:R62,2)))/2</f>
        <v>0.88013285024154586</v>
      </c>
      <c r="N62" s="584">
        <f>IF(성적입력!G$3=0,0,성적입력!G$4/HLOOKUP(성적입력!G$3,계산도구!$AO$1:$AV$3,2,FALSE))</f>
        <v>0.91304347826086951</v>
      </c>
      <c r="O62" s="585">
        <f>IF(성적입력!H$3=0,0,성적입력!H$4/HLOOKUP(성적입력!H$3,계산도구!$AO$1:$AV$3,2,FALSE))</f>
        <v>0.84722222222222221</v>
      </c>
      <c r="P62" s="585">
        <f>IF(성적입력!I$3=0,0,성적입력!I$4/HLOOKUP(성적입력!I$3,계산도구!$AO$1:$AV$3,2,FALSE))</f>
        <v>0.82666666666666666</v>
      </c>
      <c r="Q62" s="585">
        <f>IF(성적입력!J$3=0,0,성적입력!J$4/HLOOKUP(성적입력!J$3,계산도구!$AO$1:$AV$3,2,FALSE))</f>
        <v>0.50704225352112675</v>
      </c>
      <c r="R62" s="588"/>
      <c r="S62" s="69"/>
      <c r="T62" s="589">
        <f>성적입력!D$4/계산도구!X62</f>
        <v>0.8571428571428571</v>
      </c>
      <c r="U62" s="590">
        <f>성적입력!E$4/계산도구!Y62</f>
        <v>0.71895424836601307</v>
      </c>
      <c r="V62" s="591">
        <f>성적입력!F$4/계산도구!Z62</f>
        <v>0.852112676056338</v>
      </c>
      <c r="W62" s="592"/>
      <c r="X62" s="768">
        <f t="shared" ref="X62" si="84">AK$2</f>
        <v>140</v>
      </c>
      <c r="Y62" s="770">
        <f>IF(성적입력!$K$4="가형",AL$2,AM$2)</f>
        <v>153</v>
      </c>
      <c r="Z62" s="770">
        <f t="shared" ref="Z62" si="85">AN$2</f>
        <v>142</v>
      </c>
      <c r="AA62" s="770">
        <v>100</v>
      </c>
      <c r="AB62" s="767"/>
      <c r="AC62" s="69"/>
      <c r="AD62" s="1130">
        <v>0.25</v>
      </c>
      <c r="AE62" s="582">
        <v>0.25</v>
      </c>
      <c r="AF62" s="582">
        <v>0.25</v>
      </c>
      <c r="AG62" s="582">
        <v>0.25</v>
      </c>
      <c r="AH62" s="770" t="s">
        <v>98</v>
      </c>
      <c r="AI62" s="767"/>
      <c r="AJ62" s="772"/>
      <c r="AK62" s="769" t="s">
        <v>134</v>
      </c>
      <c r="AV62" s="771"/>
      <c r="AW62" s="768"/>
    </row>
    <row r="63" spans="1:49" s="547" customFormat="1" ht="14.25" thickBot="1">
      <c r="A63" s="900" t="s">
        <v>305</v>
      </c>
      <c r="B63" s="536" t="s">
        <v>109</v>
      </c>
      <c r="C63" s="569">
        <v>600</v>
      </c>
      <c r="D63" s="570">
        <f t="shared" si="59"/>
        <v>90</v>
      </c>
      <c r="E63" s="570">
        <f>U63*J63</f>
        <v>82.5</v>
      </c>
      <c r="F63" s="570">
        <f t="shared" si="60"/>
        <v>90.75</v>
      </c>
      <c r="G63" s="571">
        <f t="shared" si="66"/>
        <v>93</v>
      </c>
      <c r="H63" s="540"/>
      <c r="I63" s="541">
        <f t="shared" si="61"/>
        <v>150</v>
      </c>
      <c r="J63" s="542">
        <f t="shared" si="62"/>
        <v>150</v>
      </c>
      <c r="K63" s="542">
        <f t="shared" si="63"/>
        <v>150</v>
      </c>
      <c r="L63" s="543">
        <f t="shared" si="64"/>
        <v>150</v>
      </c>
      <c r="M63" s="544">
        <f>(LARGE(N63:R63,1)+LARGE(N63:R63,2)+LARGE(N63:R63,3))/3</f>
        <v>0.62</v>
      </c>
      <c r="N63" s="541">
        <f>성적입력!G$4/$AA63</f>
        <v>0.63</v>
      </c>
      <c r="O63" s="542">
        <f>성적입력!H$4/$AA63</f>
        <v>0.61</v>
      </c>
      <c r="P63" s="542">
        <f>성적입력!I$4/$AA63</f>
        <v>0.62</v>
      </c>
      <c r="Q63" s="542">
        <f>성적입력!J$4/$AA63</f>
        <v>0.36</v>
      </c>
      <c r="R63" s="572"/>
      <c r="S63" s="540"/>
      <c r="T63" s="545">
        <f>성적입력!D$4/계산도구!X63</f>
        <v>0.6</v>
      </c>
      <c r="U63" s="538">
        <f>성적입력!E$4/계산도구!Y63</f>
        <v>0.55000000000000004</v>
      </c>
      <c r="V63" s="539">
        <f>성적입력!F$4/계산도구!Z63</f>
        <v>0.60499999999999998</v>
      </c>
      <c r="W63" s="546"/>
      <c r="X63" s="537">
        <v>200</v>
      </c>
      <c r="Y63" s="547">
        <v>200</v>
      </c>
      <c r="Z63" s="547">
        <v>200</v>
      </c>
      <c r="AA63" s="547">
        <v>100</v>
      </c>
      <c r="AB63" s="548"/>
      <c r="AC63" s="540"/>
      <c r="AD63" s="579">
        <v>0.25</v>
      </c>
      <c r="AE63" s="570">
        <v>0.25</v>
      </c>
      <c r="AF63" s="570">
        <v>0.25</v>
      </c>
      <c r="AG63" s="570">
        <v>0.25</v>
      </c>
      <c r="AH63" s="547" t="s">
        <v>96</v>
      </c>
      <c r="AI63" s="548"/>
      <c r="AJ63" s="535"/>
      <c r="AK63" s="722"/>
      <c r="AV63" s="723"/>
      <c r="AW63" s="537"/>
    </row>
    <row r="64" spans="1:49" s="168" customFormat="1" ht="14.25" thickBot="1">
      <c r="A64" s="863" t="s">
        <v>306</v>
      </c>
      <c r="B64" s="159" t="s">
        <v>109</v>
      </c>
      <c r="C64" s="160">
        <v>600</v>
      </c>
      <c r="D64" s="395">
        <f t="shared" si="59"/>
        <v>124.5</v>
      </c>
      <c r="E64" s="395">
        <f>IF(성적입력!$K$4="나형",U64*J64,U64*J64*1.1)</f>
        <v>107.25000000000001</v>
      </c>
      <c r="F64" s="395">
        <f t="shared" si="60"/>
        <v>122.99999999999999</v>
      </c>
      <c r="G64" s="396">
        <f t="shared" si="66"/>
        <v>127.5</v>
      </c>
      <c r="H64" s="165"/>
      <c r="I64" s="162">
        <f t="shared" si="61"/>
        <v>150</v>
      </c>
      <c r="J64" s="163">
        <f t="shared" si="62"/>
        <v>150</v>
      </c>
      <c r="K64" s="163">
        <f t="shared" si="63"/>
        <v>150</v>
      </c>
      <c r="L64" s="164">
        <f t="shared" si="64"/>
        <v>150</v>
      </c>
      <c r="M64" s="161">
        <f t="shared" ref="M64:M69" si="86">((LARGE(N64:R64,1)+LARGE(N64:R64,2)))/2</f>
        <v>0.85</v>
      </c>
      <c r="N64" s="162">
        <f>성적입력!G$5/계산도구!$AA64</f>
        <v>0.87</v>
      </c>
      <c r="O64" s="163">
        <f>성적입력!H$5/계산도구!$AA64</f>
        <v>0.83</v>
      </c>
      <c r="P64" s="397">
        <f>성적입력!I$5/계산도구!$AA64</f>
        <v>0.83</v>
      </c>
      <c r="Q64" s="397">
        <f>성적입력!J$5/계산도구!$AA64</f>
        <v>0.03</v>
      </c>
      <c r="R64" s="398"/>
      <c r="S64" s="165"/>
      <c r="T64" s="166">
        <f>성적입력!D$5/계산도구!X64</f>
        <v>0.83</v>
      </c>
      <c r="U64" s="395">
        <f>성적입력!E$5/계산도구!Y64</f>
        <v>0.65</v>
      </c>
      <c r="V64" s="396">
        <f>성적입력!F$5/계산도구!Z64</f>
        <v>0.82</v>
      </c>
      <c r="W64" s="167"/>
      <c r="X64" s="160">
        <v>100</v>
      </c>
      <c r="Y64" s="168">
        <v>100</v>
      </c>
      <c r="Z64" s="168">
        <v>100</v>
      </c>
      <c r="AA64" s="168">
        <v>100</v>
      </c>
      <c r="AB64" s="169"/>
      <c r="AC64" s="165"/>
      <c r="AD64" s="1118">
        <v>0.25</v>
      </c>
      <c r="AE64" s="567">
        <v>0.25</v>
      </c>
      <c r="AF64" s="567">
        <v>0.25</v>
      </c>
      <c r="AG64" s="567">
        <v>0.25</v>
      </c>
      <c r="AH64" s="168" t="s">
        <v>98</v>
      </c>
      <c r="AI64" s="765" t="s">
        <v>255</v>
      </c>
      <c r="AJ64" s="158"/>
      <c r="AK64" s="724"/>
      <c r="AV64" s="725"/>
      <c r="AW64" s="615"/>
    </row>
    <row r="65" spans="1:49" s="168" customFormat="1" ht="14.25" thickBot="1">
      <c r="A65" s="863" t="s">
        <v>307</v>
      </c>
      <c r="B65" s="159" t="s">
        <v>109</v>
      </c>
      <c r="C65" s="160">
        <v>600</v>
      </c>
      <c r="D65" s="395">
        <f t="shared" si="59"/>
        <v>124.5</v>
      </c>
      <c r="E65" s="395">
        <f>IF(성적입력!$K$4="나형",U65*J65,U65*J65+IF(성적입력!E$5&gt;=96,5,IF(AND(성적입력!E$5&lt;96,성적입력!E$5&gt;=89),2,0)))</f>
        <v>97.5</v>
      </c>
      <c r="F65" s="395">
        <f t="shared" si="60"/>
        <v>122.99999999999999</v>
      </c>
      <c r="G65" s="396" t="e">
        <f>M65*L65+VLOOKUP(성적입력!$B$4,[1]이과백분위!$E$7:$AZ$500,36,FALSE)</f>
        <v>#N/A</v>
      </c>
      <c r="H65" s="165"/>
      <c r="I65" s="162">
        <f t="shared" si="61"/>
        <v>150</v>
      </c>
      <c r="J65" s="163">
        <f t="shared" si="62"/>
        <v>150</v>
      </c>
      <c r="K65" s="163">
        <f t="shared" si="63"/>
        <v>150</v>
      </c>
      <c r="L65" s="164">
        <f t="shared" si="64"/>
        <v>150</v>
      </c>
      <c r="M65" s="161">
        <f t="shared" si="86"/>
        <v>0.85</v>
      </c>
      <c r="N65" s="162">
        <f>성적입력!G$5/계산도구!$AA65</f>
        <v>0.87</v>
      </c>
      <c r="O65" s="163">
        <f>성적입력!H$5/계산도구!$AA65</f>
        <v>0.83</v>
      </c>
      <c r="P65" s="397">
        <f>성적입력!I$5/계산도구!$AA65</f>
        <v>0.83</v>
      </c>
      <c r="Q65" s="397">
        <f>성적입력!J$5/계산도구!$AA65</f>
        <v>0.03</v>
      </c>
      <c r="R65" s="398"/>
      <c r="S65" s="165"/>
      <c r="T65" s="166">
        <f>성적입력!D$5/계산도구!X65</f>
        <v>0.83</v>
      </c>
      <c r="U65" s="395">
        <f>성적입력!E$5/계산도구!Y65</f>
        <v>0.65</v>
      </c>
      <c r="V65" s="396">
        <f>성적입력!F$5/계산도구!Z65</f>
        <v>0.82</v>
      </c>
      <c r="W65" s="167"/>
      <c r="X65" s="160">
        <v>100</v>
      </c>
      <c r="Y65" s="168">
        <v>100</v>
      </c>
      <c r="Z65" s="168">
        <v>100</v>
      </c>
      <c r="AA65" s="168">
        <v>100</v>
      </c>
      <c r="AB65" s="169"/>
      <c r="AC65" s="165"/>
      <c r="AD65" s="1118">
        <v>0.25</v>
      </c>
      <c r="AE65" s="567">
        <v>0.25</v>
      </c>
      <c r="AF65" s="567">
        <v>0.25</v>
      </c>
      <c r="AG65" s="567">
        <v>0.25</v>
      </c>
      <c r="AH65" s="168" t="s">
        <v>207</v>
      </c>
      <c r="AI65" s="613" t="s">
        <v>208</v>
      </c>
      <c r="AJ65" s="158"/>
      <c r="AK65" s="724" t="s">
        <v>209</v>
      </c>
      <c r="AL65" s="168" t="s">
        <v>210</v>
      </c>
      <c r="AN65" s="168" t="s">
        <v>211</v>
      </c>
      <c r="AO65" s="168" t="s">
        <v>212</v>
      </c>
      <c r="AP65" s="168" t="s">
        <v>213</v>
      </c>
      <c r="AV65" s="725"/>
      <c r="AW65" s="615"/>
    </row>
    <row r="66" spans="1:49" s="198" customFormat="1" ht="14.25" thickBot="1">
      <c r="A66" s="907" t="s">
        <v>308</v>
      </c>
      <c r="B66" s="187" t="s">
        <v>216</v>
      </c>
      <c r="C66" s="188">
        <v>800</v>
      </c>
      <c r="D66" s="189">
        <f t="shared" si="59"/>
        <v>120</v>
      </c>
      <c r="E66" s="189">
        <f>U66*J66</f>
        <v>110.00000000000001</v>
      </c>
      <c r="F66" s="189">
        <f t="shared" si="60"/>
        <v>121</v>
      </c>
      <c r="G66" s="190">
        <f t="shared" si="66"/>
        <v>147.5</v>
      </c>
      <c r="H66" s="191"/>
      <c r="I66" s="192">
        <f t="shared" si="61"/>
        <v>200</v>
      </c>
      <c r="J66" s="193">
        <f t="shared" si="62"/>
        <v>200</v>
      </c>
      <c r="K66" s="193">
        <f t="shared" si="63"/>
        <v>200</v>
      </c>
      <c r="L66" s="194">
        <f t="shared" si="64"/>
        <v>200</v>
      </c>
      <c r="M66" s="611">
        <f>(LARGE(N66:R66,1)+LARGE(N66:R66,2))/2</f>
        <v>0.73750000000000004</v>
      </c>
      <c r="N66" s="192">
        <f>(성적입력!G$4+성적입력!G$5)/$AA66</f>
        <v>0.75</v>
      </c>
      <c r="O66" s="193">
        <f>(성적입력!H$4+성적입력!H$5)/$AA66</f>
        <v>0.72</v>
      </c>
      <c r="P66" s="193">
        <f>(성적입력!I$4+성적입력!I$5)/$AA66</f>
        <v>0.72499999999999998</v>
      </c>
      <c r="Q66" s="193">
        <f>(성적입력!J$4+성적입력!J$5)/$AA66</f>
        <v>0.19500000000000001</v>
      </c>
      <c r="R66" s="195"/>
      <c r="S66" s="191"/>
      <c r="T66" s="202">
        <f>성적입력!D$4/계산도구!X66</f>
        <v>0.6</v>
      </c>
      <c r="U66" s="200">
        <f>성적입력!E$4/계산도구!Y66</f>
        <v>0.55000000000000004</v>
      </c>
      <c r="V66" s="201">
        <f>성적입력!F$4/계산도구!Z66</f>
        <v>0.60499999999999998</v>
      </c>
      <c r="W66" s="196"/>
      <c r="X66" s="197">
        <v>200</v>
      </c>
      <c r="Y66" s="198">
        <v>200</v>
      </c>
      <c r="Z66" s="198">
        <v>200</v>
      </c>
      <c r="AA66" s="198">
        <v>200</v>
      </c>
      <c r="AB66" s="199"/>
      <c r="AC66" s="191"/>
      <c r="AD66" s="1131">
        <v>0.25</v>
      </c>
      <c r="AE66" s="189">
        <v>0.25</v>
      </c>
      <c r="AF66" s="189">
        <v>0.25</v>
      </c>
      <c r="AG66" s="189">
        <v>0.25</v>
      </c>
      <c r="AH66" s="198" t="s">
        <v>98</v>
      </c>
      <c r="AI66" s="199" t="s">
        <v>97</v>
      </c>
      <c r="AJ66" s="686"/>
      <c r="AK66" s="736"/>
      <c r="AV66" s="737"/>
      <c r="AW66" s="197"/>
    </row>
    <row r="67" spans="1:49" s="168" customFormat="1" ht="14.25" thickBot="1">
      <c r="A67" s="863" t="s">
        <v>309</v>
      </c>
      <c r="B67" s="844" t="s">
        <v>259</v>
      </c>
      <c r="C67" s="160">
        <v>600</v>
      </c>
      <c r="D67" s="395">
        <f t="shared" si="59"/>
        <v>124.5</v>
      </c>
      <c r="E67" s="395">
        <f>IF(성적입력!$K$4="나형",U67*J67,U67*J67*1.05)</f>
        <v>102.375</v>
      </c>
      <c r="F67" s="395">
        <f t="shared" si="60"/>
        <v>122.99999999999999</v>
      </c>
      <c r="G67" s="396">
        <f>M67*L67*1.05</f>
        <v>133.875</v>
      </c>
      <c r="H67" s="165"/>
      <c r="I67" s="162">
        <f t="shared" si="61"/>
        <v>150</v>
      </c>
      <c r="J67" s="163">
        <f t="shared" si="62"/>
        <v>150</v>
      </c>
      <c r="K67" s="163">
        <f t="shared" si="63"/>
        <v>150</v>
      </c>
      <c r="L67" s="164">
        <f t="shared" si="64"/>
        <v>150</v>
      </c>
      <c r="M67" s="161">
        <f t="shared" si="86"/>
        <v>0.85</v>
      </c>
      <c r="N67" s="162">
        <f>성적입력!G$5/계산도구!$AA$10</f>
        <v>0.87</v>
      </c>
      <c r="O67" s="163">
        <f>성적입력!H$5/계산도구!$AA$10</f>
        <v>0.83</v>
      </c>
      <c r="P67" s="397">
        <f>성적입력!I$5/계산도구!$AA$10</f>
        <v>0.83</v>
      </c>
      <c r="Q67" s="397">
        <f>성적입력!J$5/계산도구!$AA$10</f>
        <v>0.03</v>
      </c>
      <c r="R67" s="398"/>
      <c r="S67" s="165"/>
      <c r="T67" s="166">
        <f>성적입력!D$5/계산도구!X67</f>
        <v>0.83</v>
      </c>
      <c r="U67" s="395">
        <f>성적입력!E$5/계산도구!Y67</f>
        <v>0.65</v>
      </c>
      <c r="V67" s="396">
        <f>성적입력!F$5/계산도구!Z67</f>
        <v>0.82</v>
      </c>
      <c r="W67" s="167"/>
      <c r="X67" s="160">
        <v>100</v>
      </c>
      <c r="Y67" s="168">
        <v>100</v>
      </c>
      <c r="Z67" s="168">
        <v>100</v>
      </c>
      <c r="AA67" s="168">
        <v>100</v>
      </c>
      <c r="AB67" s="169"/>
      <c r="AC67" s="165"/>
      <c r="AD67" s="1132">
        <v>0.25</v>
      </c>
      <c r="AE67" s="1119">
        <v>0.25</v>
      </c>
      <c r="AF67" s="1119">
        <v>0.25</v>
      </c>
      <c r="AG67" s="1119">
        <v>0.25</v>
      </c>
      <c r="AH67" s="168" t="s">
        <v>256</v>
      </c>
      <c r="AI67" s="765" t="s">
        <v>257</v>
      </c>
      <c r="AJ67" s="158" t="s">
        <v>258</v>
      </c>
      <c r="AK67" s="724"/>
      <c r="AV67" s="725"/>
      <c r="AW67" s="615"/>
    </row>
    <row r="68" spans="1:49" s="392" customFormat="1" ht="14.25" thickBot="1">
      <c r="A68" s="908" t="s">
        <v>310</v>
      </c>
      <c r="B68" s="381" t="s">
        <v>214</v>
      </c>
      <c r="C68" s="574">
        <v>600</v>
      </c>
      <c r="D68" s="575">
        <f t="shared" si="59"/>
        <v>72</v>
      </c>
      <c r="E68" s="575">
        <f t="shared" ref="E68:E75" si="87">U68*J68</f>
        <v>99.000000000000014</v>
      </c>
      <c r="F68" s="575">
        <f t="shared" si="60"/>
        <v>108.89999999999999</v>
      </c>
      <c r="G68" s="576">
        <f t="shared" ref="G68:G75" si="88">M68*L68</f>
        <v>101.19999999999999</v>
      </c>
      <c r="H68" s="385"/>
      <c r="I68" s="386">
        <f t="shared" ref="I68:I75" si="89">AD68*$C68</f>
        <v>120</v>
      </c>
      <c r="J68" s="387">
        <f t="shared" ref="J68:J91" si="90">AE68*$C68</f>
        <v>180</v>
      </c>
      <c r="K68" s="387">
        <f t="shared" ref="K68:K91" si="91">AF68*$C68</f>
        <v>180</v>
      </c>
      <c r="L68" s="388">
        <f t="shared" ref="L68:L91" si="92">AG68*$C68</f>
        <v>120</v>
      </c>
      <c r="M68" s="389">
        <f>(LARGE(N68:R68,1)+LARGE(N68:R68,2)+LARGE(N68:R68,3))/3</f>
        <v>0.84333333333333327</v>
      </c>
      <c r="N68" s="386">
        <f>(성적입력!G$5)/$AA68</f>
        <v>0.87</v>
      </c>
      <c r="O68" s="387">
        <f>(성적입력!H$5)/$AA68</f>
        <v>0.83</v>
      </c>
      <c r="P68" s="387">
        <f>(성적입력!I$5)/$AA68</f>
        <v>0.83</v>
      </c>
      <c r="Q68" s="387">
        <f>(성적입력!J$5)/$AA68</f>
        <v>0.03</v>
      </c>
      <c r="R68" s="573"/>
      <c r="S68" s="385"/>
      <c r="T68" s="390">
        <f>성적입력!D$4/계산도구!X68</f>
        <v>0.6</v>
      </c>
      <c r="U68" s="383">
        <f>성적입력!E$4/계산도구!Y68</f>
        <v>0.55000000000000004</v>
      </c>
      <c r="V68" s="384">
        <f>성적입력!F$4/계산도구!Z68</f>
        <v>0.60499999999999998</v>
      </c>
      <c r="W68" s="391"/>
      <c r="X68" s="382">
        <v>200</v>
      </c>
      <c r="Y68" s="392">
        <v>200</v>
      </c>
      <c r="Z68" s="392">
        <v>200</v>
      </c>
      <c r="AA68" s="392">
        <v>100</v>
      </c>
      <c r="AB68" s="393"/>
      <c r="AC68" s="385"/>
      <c r="AD68" s="1133">
        <v>0.2</v>
      </c>
      <c r="AE68" s="575">
        <v>0.3</v>
      </c>
      <c r="AF68" s="575">
        <v>0.3</v>
      </c>
      <c r="AG68" s="575">
        <v>0.2</v>
      </c>
      <c r="AH68" s="392" t="s">
        <v>87</v>
      </c>
      <c r="AI68" s="393"/>
      <c r="AJ68" s="380"/>
      <c r="AK68" s="738"/>
      <c r="AV68" s="739"/>
      <c r="AW68" s="382"/>
    </row>
    <row r="69" spans="1:49" s="392" customFormat="1" ht="14.25" thickBot="1">
      <c r="A69" s="908" t="s">
        <v>311</v>
      </c>
      <c r="B69" s="845" t="s">
        <v>260</v>
      </c>
      <c r="C69" s="846">
        <v>50</v>
      </c>
      <c r="D69" s="575">
        <f>T69*I69+350</f>
        <v>358.57142857142856</v>
      </c>
      <c r="E69" s="575">
        <f t="shared" si="87"/>
        <v>10.784313725490197</v>
      </c>
      <c r="F69" s="575">
        <f t="shared" si="60"/>
        <v>12.78169014084507</v>
      </c>
      <c r="G69" s="576">
        <f t="shared" si="88"/>
        <v>8.5</v>
      </c>
      <c r="H69" s="385"/>
      <c r="I69" s="386">
        <f t="shared" si="89"/>
        <v>10</v>
      </c>
      <c r="J69" s="387">
        <f t="shared" si="90"/>
        <v>15</v>
      </c>
      <c r="K69" s="387">
        <f t="shared" si="91"/>
        <v>15</v>
      </c>
      <c r="L69" s="388">
        <f t="shared" si="92"/>
        <v>10</v>
      </c>
      <c r="M69" s="389">
        <f t="shared" si="86"/>
        <v>0.85</v>
      </c>
      <c r="N69" s="386">
        <f>(성적입력!G$5)/$AA69</f>
        <v>0.87</v>
      </c>
      <c r="O69" s="387">
        <f>(성적입력!H$5)/$AA69</f>
        <v>0.83</v>
      </c>
      <c r="P69" s="387">
        <f>(성적입력!I$5)/$AA69</f>
        <v>0.83</v>
      </c>
      <c r="Q69" s="387">
        <f>(성적입력!J$5)/$AA69</f>
        <v>0.03</v>
      </c>
      <c r="R69" s="573"/>
      <c r="S69" s="385"/>
      <c r="T69" s="390">
        <f>성적입력!D$4/계산도구!X69</f>
        <v>0.8571428571428571</v>
      </c>
      <c r="U69" s="383">
        <f>성적입력!E$4/계산도구!Y69</f>
        <v>0.71895424836601307</v>
      </c>
      <c r="V69" s="384">
        <f>성적입력!F$4/계산도구!Z69</f>
        <v>0.852112676056338</v>
      </c>
      <c r="W69" s="391"/>
      <c r="X69" s="382">
        <f t="shared" ref="X69" si="93">AK$2</f>
        <v>140</v>
      </c>
      <c r="Y69" s="382">
        <f>IF(성적입력!$K$4="가형",AL$2,AM$2)</f>
        <v>153</v>
      </c>
      <c r="Z69" s="382">
        <f t="shared" ref="Z69" si="94">AN$2</f>
        <v>142</v>
      </c>
      <c r="AA69" s="392">
        <v>100</v>
      </c>
      <c r="AB69" s="393"/>
      <c r="AC69" s="385"/>
      <c r="AD69" s="1133">
        <v>0.2</v>
      </c>
      <c r="AE69" s="575">
        <v>0.3</v>
      </c>
      <c r="AF69" s="575">
        <v>0.3</v>
      </c>
      <c r="AG69" s="575">
        <v>0.2</v>
      </c>
      <c r="AH69" s="392" t="s">
        <v>87</v>
      </c>
      <c r="AI69" s="393" t="s">
        <v>261</v>
      </c>
      <c r="AJ69" s="380" t="s">
        <v>262</v>
      </c>
      <c r="AK69" s="738" t="s">
        <v>263</v>
      </c>
      <c r="AV69" s="739"/>
      <c r="AW69" s="382"/>
    </row>
    <row r="70" spans="1:49" s="394" customFormat="1" ht="14.25" thickBot="1">
      <c r="A70" s="908" t="s">
        <v>312</v>
      </c>
      <c r="B70" s="381" t="s">
        <v>215</v>
      </c>
      <c r="C70" s="382">
        <v>900</v>
      </c>
      <c r="D70" s="575">
        <f t="shared" si="59"/>
        <v>77.142857142857139</v>
      </c>
      <c r="E70" s="575">
        <f t="shared" si="87"/>
        <v>226.47058823529412</v>
      </c>
      <c r="F70" s="575">
        <f t="shared" si="60"/>
        <v>268.41549295774649</v>
      </c>
      <c r="G70" s="576">
        <f t="shared" si="88"/>
        <v>154.29</v>
      </c>
      <c r="H70" s="389"/>
      <c r="I70" s="386">
        <f t="shared" si="89"/>
        <v>90</v>
      </c>
      <c r="J70" s="387">
        <f t="shared" si="90"/>
        <v>315</v>
      </c>
      <c r="K70" s="387">
        <f t="shared" si="91"/>
        <v>315</v>
      </c>
      <c r="L70" s="388">
        <f t="shared" si="92"/>
        <v>180</v>
      </c>
      <c r="M70" s="389">
        <f>(LARGE(N70:R70,1)+LARGE(N70:R70,2)+LARGE(N70:R70,3))/3</f>
        <v>0.85716666666666663</v>
      </c>
      <c r="N70" s="386">
        <f>(IF(OR(성적입력!G$3="물2",성적입력!G$3="화2",성적입력!G$3="생2",성적입력!G$3="지2"),성적입력!G$5*1.05,성적입력!G$5))/$AA70</f>
        <v>0.87</v>
      </c>
      <c r="O70" s="387">
        <f>(IF(OR(성적입력!H$3="물2",성적입력!H$3="화2",성적입력!H$3="생2",성적입력!H$3="지2"),성적입력!H$5*1.05,성적입력!H$5))/$AA70</f>
        <v>0.83</v>
      </c>
      <c r="P70" s="387">
        <f>(IF(OR(성적입력!I$3="물2",성적입력!I$3="화2",성적입력!I$3="생2",성적입력!I$3="지2"),성적입력!I$5*1.05,성적입력!I$5))/$AA70</f>
        <v>0.87150000000000005</v>
      </c>
      <c r="Q70" s="387">
        <f>(IF(OR(성적입력!J$3="물2",성적입력!J$3="화2",성적입력!J$3="생2",성적입력!J$3="지2"),성적입력!J$5*1.05,성적입력!J$5))/$AA70</f>
        <v>3.15E-2</v>
      </c>
      <c r="R70" s="388"/>
      <c r="S70" s="385"/>
      <c r="T70" s="390">
        <f>성적입력!D$4/X70</f>
        <v>0.8571428571428571</v>
      </c>
      <c r="U70" s="390">
        <f>성적입력!E$4/Y70</f>
        <v>0.71895424836601307</v>
      </c>
      <c r="V70" s="577">
        <f>성적입력!F$4/Z70</f>
        <v>0.852112676056338</v>
      </c>
      <c r="W70" s="391"/>
      <c r="X70" s="382">
        <f t="shared" ref="X70:X71" si="95">AK$2</f>
        <v>140</v>
      </c>
      <c r="Y70" s="382">
        <f>IF(성적입력!$K$4="가형",AL$2,AM$2)</f>
        <v>153</v>
      </c>
      <c r="Z70" s="382">
        <f t="shared" ref="Z70:Z71" si="96">AN$2</f>
        <v>142</v>
      </c>
      <c r="AA70" s="392">
        <v>100</v>
      </c>
      <c r="AB70" s="393"/>
      <c r="AC70" s="385"/>
      <c r="AD70" s="1133">
        <v>0.1</v>
      </c>
      <c r="AE70" s="575">
        <v>0.35</v>
      </c>
      <c r="AF70" s="575">
        <v>0.35</v>
      </c>
      <c r="AG70" s="576">
        <v>0.2</v>
      </c>
      <c r="AH70" s="385"/>
      <c r="AJ70" s="380"/>
      <c r="AK70" s="738"/>
      <c r="AL70" s="392"/>
      <c r="AM70" s="392"/>
      <c r="AN70" s="392"/>
      <c r="AO70" s="392"/>
      <c r="AP70" s="392"/>
      <c r="AQ70" s="392"/>
      <c r="AR70" s="392"/>
      <c r="AS70" s="392"/>
      <c r="AT70" s="392"/>
      <c r="AU70" s="392"/>
      <c r="AV70" s="739"/>
    </row>
    <row r="71" spans="1:49" s="232" customFormat="1" ht="14.25" thickBot="1">
      <c r="A71" s="873" t="s">
        <v>313</v>
      </c>
      <c r="B71" s="204" t="s">
        <v>170</v>
      </c>
      <c r="C71" s="205">
        <v>700</v>
      </c>
      <c r="D71" s="217">
        <f t="shared" si="59"/>
        <v>120</v>
      </c>
      <c r="E71" s="217">
        <f t="shared" si="87"/>
        <v>150.98039215686273</v>
      </c>
      <c r="F71" s="217">
        <f t="shared" si="60"/>
        <v>119.29577464788733</v>
      </c>
      <c r="G71" s="218">
        <f t="shared" si="88"/>
        <v>161.67852701395606</v>
      </c>
      <c r="H71" s="212"/>
      <c r="I71" s="209">
        <f t="shared" si="89"/>
        <v>140</v>
      </c>
      <c r="J71" s="210">
        <f t="shared" si="90"/>
        <v>210</v>
      </c>
      <c r="K71" s="210">
        <f t="shared" si="91"/>
        <v>140</v>
      </c>
      <c r="L71" s="211">
        <f t="shared" si="92"/>
        <v>210</v>
      </c>
      <c r="M71" s="212">
        <f>(LARGE(N71:R71,1)+LARGE(N71:R71,2)+LARGE(N71:R71,3)+LARGE(N71:R71,4))/4</f>
        <v>0.76989774768550501</v>
      </c>
      <c r="N71" s="209">
        <f>VLOOKUP(성적입력!G$5,보정점수표!$A$3:$M$103,6,FALSE)/$AA71</f>
        <v>0.88019897747685505</v>
      </c>
      <c r="O71" s="209">
        <f>VLOOKUP(성적입력!H$5,보정점수표!$A$3:$M$103,6,FALSE)/$AA71</f>
        <v>0.85574132928008839</v>
      </c>
      <c r="P71" s="209">
        <f>VLOOKUP(성적입력!I$5,보정점수표!$A$3:$M$103,6,FALSE)/$AA71</f>
        <v>0.85574132928008839</v>
      </c>
      <c r="Q71" s="209">
        <f>VLOOKUP(성적입력!J$5,보정점수표!$A$3:$M$103,6,FALSE)/$AA71</f>
        <v>0.48790935470498825</v>
      </c>
      <c r="R71" s="211"/>
      <c r="S71" s="208"/>
      <c r="T71" s="214">
        <f>성적입력!D$4/X71</f>
        <v>0.8571428571428571</v>
      </c>
      <c r="U71" s="214">
        <f>성적입력!E$4/Y71</f>
        <v>0.71895424836601307</v>
      </c>
      <c r="V71" s="231">
        <f>성적입력!F$4/Z71</f>
        <v>0.852112676056338</v>
      </c>
      <c r="W71" s="215"/>
      <c r="X71" s="205">
        <f t="shared" si="95"/>
        <v>140</v>
      </c>
      <c r="Y71" s="205">
        <f>IF(성적입력!$K$4="가형",AL$2,AM$2)</f>
        <v>153</v>
      </c>
      <c r="Z71" s="205">
        <f t="shared" si="96"/>
        <v>142</v>
      </c>
      <c r="AA71" s="174">
        <f>HLOOKUP($A71,보정점수표!$B$2:$L$3,2,FALSE)</f>
        <v>72.37</v>
      </c>
      <c r="AB71" s="216"/>
      <c r="AC71" s="208"/>
      <c r="AD71" s="972">
        <v>0.2</v>
      </c>
      <c r="AE71" s="217">
        <v>0.3</v>
      </c>
      <c r="AF71" s="217">
        <v>0.2</v>
      </c>
      <c r="AG71" s="218">
        <v>0.3</v>
      </c>
      <c r="AH71" s="208"/>
      <c r="AI71" s="455"/>
      <c r="AJ71" s="203"/>
      <c r="AK71" s="618"/>
      <c r="AL71" s="619"/>
      <c r="AM71" s="773"/>
      <c r="AN71" s="619"/>
      <c r="AO71" s="619"/>
      <c r="AP71" s="619"/>
      <c r="AQ71" s="619"/>
      <c r="AR71" s="619"/>
      <c r="AS71" s="619"/>
      <c r="AT71" s="619"/>
      <c r="AU71" s="619"/>
      <c r="AV71" s="620"/>
    </row>
    <row r="72" spans="1:49" s="229" customFormat="1">
      <c r="A72" s="886" t="s">
        <v>387</v>
      </c>
      <c r="B72" s="219" t="s">
        <v>389</v>
      </c>
      <c r="C72" s="1148">
        <v>500</v>
      </c>
      <c r="D72" s="1082">
        <f t="shared" ref="D72" si="97">T72*I72</f>
        <v>66.666666666666657</v>
      </c>
      <c r="E72" s="1082">
        <f t="shared" ref="E72" si="98">U72*J72</f>
        <v>91.666666666666671</v>
      </c>
      <c r="F72" s="1082">
        <f t="shared" ref="F72" si="99">V72*K72</f>
        <v>67.222222222222214</v>
      </c>
      <c r="G72" s="1083">
        <f t="shared" ref="G72" si="100">M72*L72</f>
        <v>69.805555555555543</v>
      </c>
      <c r="H72" s="223"/>
      <c r="I72" s="224">
        <f t="shared" ref="I72" si="101">AD72*$C72</f>
        <v>111.1111111111111</v>
      </c>
      <c r="J72" s="225">
        <f t="shared" ref="J72" si="102">AE72*$C72</f>
        <v>166.66666666666666</v>
      </c>
      <c r="K72" s="225">
        <f t="shared" ref="K72" si="103">AF72*$C72</f>
        <v>111.1111111111111</v>
      </c>
      <c r="L72" s="226">
        <f t="shared" ref="L72" si="104">AG72*$C72</f>
        <v>111.1111111111111</v>
      </c>
      <c r="M72" s="513">
        <f>(LARGE(N72:R72,1)+LARGE(N72:R72,2))/2</f>
        <v>0.62824999999999998</v>
      </c>
      <c r="N72" s="224">
        <f>VLOOKUP(성적입력!G$5,보정점수표!$A$3:$M$103,2,FALSE)/$AA72</f>
        <v>0.6371</v>
      </c>
      <c r="O72" s="225">
        <f>VLOOKUP(성적입력!H$5,보정점수표!$A$3:$M$103,2,FALSE)/$AA72</f>
        <v>0.61939999999999995</v>
      </c>
      <c r="P72" s="225">
        <f>VLOOKUP(성적입력!I$5,보정점수표!$A$3:$M$103,2,FALSE)/$AA72</f>
        <v>0.61939999999999995</v>
      </c>
      <c r="Q72" s="225">
        <f>VLOOKUP(성적입력!J$5,보정점수표!$A$3:$M$103,2,FALSE)/$AA72</f>
        <v>0.35310000000000002</v>
      </c>
      <c r="R72" s="1149"/>
      <c r="S72" s="223"/>
      <c r="T72" s="227">
        <f>성적입력!D$4/계산도구!X72</f>
        <v>0.6</v>
      </c>
      <c r="U72" s="221">
        <f>성적입력!E$4/계산도구!Y72</f>
        <v>0.55000000000000004</v>
      </c>
      <c r="V72" s="222">
        <f>성적입력!F$4/계산도구!Z72</f>
        <v>0.60499999999999998</v>
      </c>
      <c r="W72" s="228"/>
      <c r="X72" s="220">
        <v>200</v>
      </c>
      <c r="Y72" s="229">
        <v>200</v>
      </c>
      <c r="Z72" s="229">
        <v>200</v>
      </c>
      <c r="AA72" s="229">
        <v>100</v>
      </c>
      <c r="AB72" s="230"/>
      <c r="AC72" s="223"/>
      <c r="AD72" s="1081">
        <f>2/9</f>
        <v>0.22222222222222221</v>
      </c>
      <c r="AE72" s="1082">
        <f>3/9</f>
        <v>0.33333333333333331</v>
      </c>
      <c r="AF72" s="1082">
        <f>2/9</f>
        <v>0.22222222222222221</v>
      </c>
      <c r="AG72" s="1082">
        <f>2/9</f>
        <v>0.22222222222222221</v>
      </c>
      <c r="AI72" s="230"/>
      <c r="AJ72" s="678"/>
      <c r="AK72" s="707"/>
      <c r="AV72" s="708"/>
      <c r="AW72" s="220"/>
    </row>
    <row r="73" spans="1:49" s="29" customFormat="1" ht="14.25" thickBot="1">
      <c r="A73" s="888" t="s">
        <v>388</v>
      </c>
      <c r="B73" s="525" t="s">
        <v>113</v>
      </c>
      <c r="C73" s="1150">
        <v>500</v>
      </c>
      <c r="D73" s="1088">
        <f t="shared" si="59"/>
        <v>60</v>
      </c>
      <c r="E73" s="1088">
        <f t="shared" si="87"/>
        <v>82.5</v>
      </c>
      <c r="F73" s="1088">
        <f t="shared" si="60"/>
        <v>60.5</v>
      </c>
      <c r="G73" s="1089">
        <f t="shared" si="88"/>
        <v>94.237499999999997</v>
      </c>
      <c r="H73" s="130"/>
      <c r="I73" s="528">
        <f t="shared" si="89"/>
        <v>100</v>
      </c>
      <c r="J73" s="529">
        <f t="shared" si="90"/>
        <v>150</v>
      </c>
      <c r="K73" s="529">
        <f t="shared" si="91"/>
        <v>100</v>
      </c>
      <c r="L73" s="530">
        <f t="shared" si="92"/>
        <v>150</v>
      </c>
      <c r="M73" s="531">
        <f>(LARGE(N73:R73,1)+LARGE(N73:R73,2))/2</f>
        <v>0.62824999999999998</v>
      </c>
      <c r="N73" s="528">
        <f>VLOOKUP(성적입력!G$5,보정점수표!$A$3:$M$103,2,FALSE)/$AA73</f>
        <v>0.6371</v>
      </c>
      <c r="O73" s="529">
        <f>VLOOKUP(성적입력!H$5,보정점수표!$A$3:$M$103,2,FALSE)/$AA73</f>
        <v>0.61939999999999995</v>
      </c>
      <c r="P73" s="529">
        <f>VLOOKUP(성적입력!I$5,보정점수표!$A$3:$M$103,2,FALSE)/$AA73</f>
        <v>0.61939999999999995</v>
      </c>
      <c r="Q73" s="529">
        <f>VLOOKUP(성적입력!J$5,보정점수표!$A$3:$M$103,2,FALSE)/$AA73</f>
        <v>0.35310000000000002</v>
      </c>
      <c r="R73" s="1151"/>
      <c r="S73" s="130"/>
      <c r="T73" s="532">
        <f>성적입력!D$4/계산도구!X73</f>
        <v>0.6</v>
      </c>
      <c r="U73" s="526">
        <f>성적입력!E$4/계산도구!Y73</f>
        <v>0.55000000000000004</v>
      </c>
      <c r="V73" s="527">
        <f>성적입력!F$4/계산도구!Z73</f>
        <v>0.60499999999999998</v>
      </c>
      <c r="W73" s="533"/>
      <c r="X73" s="28">
        <v>200</v>
      </c>
      <c r="Y73" s="29">
        <v>200</v>
      </c>
      <c r="Z73" s="29">
        <v>200</v>
      </c>
      <c r="AA73" s="29">
        <v>100</v>
      </c>
      <c r="AB73" s="30"/>
      <c r="AC73" s="130"/>
      <c r="AD73" s="1087">
        <v>0.2</v>
      </c>
      <c r="AE73" s="1088">
        <v>0.3</v>
      </c>
      <c r="AF73" s="1088">
        <v>0.2</v>
      </c>
      <c r="AG73" s="1088">
        <v>0.3</v>
      </c>
      <c r="AI73" s="30"/>
      <c r="AJ73" s="680"/>
      <c r="AK73" s="58"/>
      <c r="AV73" s="50"/>
      <c r="AW73" s="28"/>
    </row>
    <row r="74" spans="1:49" s="547" customFormat="1" ht="14.25" thickBot="1">
      <c r="A74" s="900" t="s">
        <v>314</v>
      </c>
      <c r="B74" s="536" t="s">
        <v>113</v>
      </c>
      <c r="C74" s="569">
        <v>600</v>
      </c>
      <c r="D74" s="570">
        <f t="shared" si="59"/>
        <v>0</v>
      </c>
      <c r="E74" s="570">
        <f t="shared" si="87"/>
        <v>110.00000000000001</v>
      </c>
      <c r="F74" s="570">
        <f t="shared" si="60"/>
        <v>121</v>
      </c>
      <c r="G74" s="571">
        <f t="shared" si="88"/>
        <v>125</v>
      </c>
      <c r="H74" s="540"/>
      <c r="I74" s="541">
        <f t="shared" si="89"/>
        <v>0</v>
      </c>
      <c r="J74" s="542">
        <f t="shared" si="90"/>
        <v>200</v>
      </c>
      <c r="K74" s="542">
        <f t="shared" si="91"/>
        <v>200</v>
      </c>
      <c r="L74" s="543">
        <f t="shared" si="92"/>
        <v>200</v>
      </c>
      <c r="M74" s="544">
        <f>((LARGE(N74:R74,1)+LARGE(N74:R74,2)))/2</f>
        <v>0.625</v>
      </c>
      <c r="N74" s="541">
        <f>성적입력!G$4/$AA74</f>
        <v>0.63</v>
      </c>
      <c r="O74" s="542">
        <f>성적입력!H$4/$AA74</f>
        <v>0.61</v>
      </c>
      <c r="P74" s="542">
        <f>성적입력!I$4/$AA74</f>
        <v>0.62</v>
      </c>
      <c r="Q74" s="542">
        <f>성적입력!J$4/$AA74</f>
        <v>0.36</v>
      </c>
      <c r="R74" s="572"/>
      <c r="S74" s="540"/>
      <c r="T74" s="545">
        <f>성적입력!D$4/계산도구!X74</f>
        <v>0.6</v>
      </c>
      <c r="U74" s="538">
        <f>성적입력!E$4/계산도구!Y74</f>
        <v>0.55000000000000004</v>
      </c>
      <c r="V74" s="539">
        <f>성적입력!F$4/계산도구!Z74</f>
        <v>0.60499999999999998</v>
      </c>
      <c r="W74" s="546"/>
      <c r="X74" s="537">
        <v>200</v>
      </c>
      <c r="Y74" s="547">
        <v>200</v>
      </c>
      <c r="Z74" s="547">
        <v>200</v>
      </c>
      <c r="AA74" s="547">
        <v>100</v>
      </c>
      <c r="AB74" s="548"/>
      <c r="AC74" s="540"/>
      <c r="AD74" s="579"/>
      <c r="AE74" s="570">
        <v>0.33333333333333331</v>
      </c>
      <c r="AF74" s="570">
        <f>2/6</f>
        <v>0.33333333333333331</v>
      </c>
      <c r="AG74" s="570">
        <f>2/6</f>
        <v>0.33333333333333331</v>
      </c>
      <c r="AI74" s="548"/>
      <c r="AJ74" s="535"/>
      <c r="AK74" s="722"/>
      <c r="AV74" s="723"/>
      <c r="AW74" s="537"/>
    </row>
    <row r="75" spans="1:49" s="232" customFormat="1" ht="14.25" thickBot="1">
      <c r="A75" s="873" t="s">
        <v>315</v>
      </c>
      <c r="B75" s="204" t="s">
        <v>113</v>
      </c>
      <c r="C75" s="847">
        <v>1000</v>
      </c>
      <c r="D75" s="217">
        <f t="shared" si="59"/>
        <v>85.714285714285708</v>
      </c>
      <c r="E75" s="217">
        <f t="shared" si="87"/>
        <v>287.58169934640523</v>
      </c>
      <c r="F75" s="217">
        <f t="shared" si="60"/>
        <v>255.63380281690141</v>
      </c>
      <c r="G75" s="218">
        <f t="shared" si="88"/>
        <v>173.57004697430233</v>
      </c>
      <c r="H75" s="212"/>
      <c r="I75" s="209">
        <f t="shared" si="89"/>
        <v>100</v>
      </c>
      <c r="J75" s="210">
        <f t="shared" si="90"/>
        <v>400</v>
      </c>
      <c r="K75" s="210">
        <f t="shared" si="91"/>
        <v>300</v>
      </c>
      <c r="L75" s="211">
        <f t="shared" si="92"/>
        <v>200</v>
      </c>
      <c r="M75" s="212">
        <f>(LARGE(N75:R75,1)+LARGE(N75:R75,2))/2</f>
        <v>0.86785023487151158</v>
      </c>
      <c r="N75" s="209">
        <f>VLOOKUP(성적입력!G$5,보정점수표!$A$3:$M$103,6,FALSE)/$AA75</f>
        <v>0.88007736943907167</v>
      </c>
      <c r="O75" s="209">
        <f>VLOOKUP(성적입력!H$5,보정점수표!$A$3:$M$103,6,FALSE)/$AA75</f>
        <v>0.85562310030395139</v>
      </c>
      <c r="P75" s="209">
        <f>VLOOKUP(성적입력!I$5,보정점수표!$A$3:$M$103,6,FALSE)/$AA75</f>
        <v>0.85562310030395139</v>
      </c>
      <c r="Q75" s="209">
        <f>VLOOKUP(성적입력!J$5,보정점수표!$A$3:$M$103,6,FALSE)/$AA75</f>
        <v>0.48784194528875385</v>
      </c>
      <c r="R75" s="211"/>
      <c r="S75" s="208"/>
      <c r="T75" s="214">
        <f>성적입력!D$4/X75</f>
        <v>0.8571428571428571</v>
      </c>
      <c r="U75" s="214">
        <f>성적입력!E$4/Y75</f>
        <v>0.71895424836601307</v>
      </c>
      <c r="V75" s="231">
        <f>성적입력!F$4/Z75</f>
        <v>0.852112676056338</v>
      </c>
      <c r="W75" s="215"/>
      <c r="X75" s="205">
        <f t="shared" ref="X75" si="105">AK$2</f>
        <v>140</v>
      </c>
      <c r="Y75" s="205">
        <f>IF(성적입력!$K$4="가형",AL$2,AM$2)</f>
        <v>153</v>
      </c>
      <c r="Z75" s="205">
        <f t="shared" ref="Z75" si="106">AN$2</f>
        <v>142</v>
      </c>
      <c r="AA75" s="174">
        <f>HLOOKUP($A75,보정점수표!$B$2:$L$3,2,FALSE)</f>
        <v>72.38</v>
      </c>
      <c r="AB75" s="216"/>
      <c r="AC75" s="208"/>
      <c r="AD75" s="972">
        <v>0.1</v>
      </c>
      <c r="AE75" s="217">
        <v>0.4</v>
      </c>
      <c r="AF75" s="217">
        <v>0.3</v>
      </c>
      <c r="AG75" s="218">
        <v>0.2</v>
      </c>
      <c r="AH75" s="208"/>
      <c r="AI75" s="455"/>
      <c r="AJ75" s="203"/>
      <c r="AK75" s="618"/>
      <c r="AL75" s="619"/>
      <c r="AM75" s="773"/>
      <c r="AN75" s="619"/>
      <c r="AO75" s="619"/>
      <c r="AP75" s="619"/>
      <c r="AQ75" s="619"/>
      <c r="AR75" s="619"/>
      <c r="AS75" s="619"/>
      <c r="AT75" s="619"/>
      <c r="AU75" s="619"/>
      <c r="AV75" s="620"/>
    </row>
    <row r="76" spans="1:49" s="168" customFormat="1" ht="14.25" thickBot="1">
      <c r="A76" s="863" t="s">
        <v>316</v>
      </c>
      <c r="B76" s="159" t="s">
        <v>113</v>
      </c>
      <c r="C76" s="160">
        <v>500</v>
      </c>
      <c r="D76" s="395">
        <f t="shared" si="59"/>
        <v>124.5</v>
      </c>
      <c r="E76" s="395">
        <f>IF(성적입력!$K$4="가형",U76*J76,(U76*J76)-10)</f>
        <v>97.5</v>
      </c>
      <c r="F76" s="395">
        <f t="shared" si="60"/>
        <v>122.99999999999999</v>
      </c>
      <c r="G76" s="396">
        <f>M76*L76</f>
        <v>42.5</v>
      </c>
      <c r="H76" s="165"/>
      <c r="I76" s="162">
        <f t="shared" ref="I76:I91" si="107">AD76*$C76</f>
        <v>150</v>
      </c>
      <c r="J76" s="163">
        <f t="shared" si="90"/>
        <v>150</v>
      </c>
      <c r="K76" s="163">
        <f t="shared" si="91"/>
        <v>150</v>
      </c>
      <c r="L76" s="164">
        <f t="shared" si="92"/>
        <v>50</v>
      </c>
      <c r="M76" s="161">
        <f>((LARGE(N76:R76,1)+LARGE(N76:R76,2)))/2</f>
        <v>0.85</v>
      </c>
      <c r="N76" s="162">
        <f>성적입력!G$5/계산도구!$AA76</f>
        <v>0.87</v>
      </c>
      <c r="O76" s="163">
        <f>성적입력!H$5/계산도구!$AA76</f>
        <v>0.83</v>
      </c>
      <c r="P76" s="397">
        <f>성적입력!I$5/계산도구!$AA76</f>
        <v>0.83</v>
      </c>
      <c r="Q76" s="397">
        <f>성적입력!J$5/계산도구!$AA76</f>
        <v>0.03</v>
      </c>
      <c r="R76" s="398"/>
      <c r="S76" s="165"/>
      <c r="T76" s="166">
        <f>성적입력!D$5/계산도구!X76</f>
        <v>0.83</v>
      </c>
      <c r="U76" s="395">
        <f>성적입력!E$5/계산도구!Y76</f>
        <v>0.65</v>
      </c>
      <c r="V76" s="396">
        <f>성적입력!F$5/계산도구!Z76</f>
        <v>0.82</v>
      </c>
      <c r="W76" s="167"/>
      <c r="X76" s="160">
        <v>100</v>
      </c>
      <c r="Y76" s="168">
        <v>100</v>
      </c>
      <c r="Z76" s="168">
        <v>100</v>
      </c>
      <c r="AA76" s="168">
        <v>100</v>
      </c>
      <c r="AB76" s="169"/>
      <c r="AC76" s="165"/>
      <c r="AD76" s="1118">
        <v>0.3</v>
      </c>
      <c r="AE76" s="567">
        <v>0.3</v>
      </c>
      <c r="AF76" s="567">
        <v>0.3</v>
      </c>
      <c r="AG76" s="567">
        <v>0.1</v>
      </c>
      <c r="AH76" s="168" t="s">
        <v>98</v>
      </c>
      <c r="AI76" s="613" t="s">
        <v>114</v>
      </c>
      <c r="AJ76" s="158"/>
      <c r="AK76" s="724" t="s">
        <v>115</v>
      </c>
      <c r="AV76" s="725"/>
      <c r="AW76" s="615"/>
    </row>
    <row r="77" spans="1:49" s="168" customFormat="1" ht="14.25" thickBot="1">
      <c r="A77" s="863" t="s">
        <v>317</v>
      </c>
      <c r="B77" s="159" t="s">
        <v>113</v>
      </c>
      <c r="C77" s="160">
        <v>560</v>
      </c>
      <c r="D77" s="395">
        <f t="shared" si="59"/>
        <v>92.96</v>
      </c>
      <c r="E77" s="395">
        <f>U77*J77</f>
        <v>109.2</v>
      </c>
      <c r="F77" s="395">
        <f t="shared" si="60"/>
        <v>137.76</v>
      </c>
      <c r="G77" s="396">
        <f>M77*L77</f>
        <v>94.453333333333319</v>
      </c>
      <c r="H77" s="165"/>
      <c r="I77" s="162">
        <f t="shared" si="107"/>
        <v>112</v>
      </c>
      <c r="J77" s="163">
        <f t="shared" si="90"/>
        <v>168</v>
      </c>
      <c r="K77" s="163">
        <f t="shared" si="91"/>
        <v>168</v>
      </c>
      <c r="L77" s="164">
        <f t="shared" si="92"/>
        <v>112</v>
      </c>
      <c r="M77" s="161">
        <f>(LARGE(N77:R77,1)+LARGE(N77:R77,2)+LARGE(N77:R77,3))/3</f>
        <v>0.84333333333333327</v>
      </c>
      <c r="N77" s="162">
        <f>성적입력!G$5/계산도구!$AA77</f>
        <v>0.87</v>
      </c>
      <c r="O77" s="163">
        <f>성적입력!H$5/계산도구!$AA77</f>
        <v>0.83</v>
      </c>
      <c r="P77" s="397">
        <f>성적입력!I$5/계산도구!$AA77</f>
        <v>0.83</v>
      </c>
      <c r="Q77" s="397">
        <f>성적입력!J$5/계산도구!$AA77</f>
        <v>0.03</v>
      </c>
      <c r="R77" s="398"/>
      <c r="S77" s="165"/>
      <c r="T77" s="166">
        <f>성적입력!D$5/계산도구!X77</f>
        <v>0.83</v>
      </c>
      <c r="U77" s="395">
        <f>성적입력!E$5/계산도구!Y77</f>
        <v>0.65</v>
      </c>
      <c r="V77" s="396">
        <f>성적입력!F$5/계산도구!Z77</f>
        <v>0.82</v>
      </c>
      <c r="W77" s="167"/>
      <c r="X77" s="160">
        <v>100</v>
      </c>
      <c r="Y77" s="168">
        <v>100</v>
      </c>
      <c r="Z77" s="168">
        <v>100</v>
      </c>
      <c r="AA77" s="168">
        <v>100</v>
      </c>
      <c r="AB77" s="169"/>
      <c r="AC77" s="165"/>
      <c r="AD77" s="1118">
        <v>0.2</v>
      </c>
      <c r="AE77" s="567">
        <v>0.3</v>
      </c>
      <c r="AF77" s="567">
        <v>0.3</v>
      </c>
      <c r="AG77" s="567">
        <v>0.2</v>
      </c>
      <c r="AI77" s="613"/>
      <c r="AJ77" s="158"/>
      <c r="AK77" s="724"/>
      <c r="AV77" s="725"/>
      <c r="AW77" s="615"/>
    </row>
    <row r="78" spans="1:49" s="168" customFormat="1" ht="14.25" thickBot="1">
      <c r="A78" s="863" t="s">
        <v>318</v>
      </c>
      <c r="B78" s="848" t="s">
        <v>264</v>
      </c>
      <c r="C78" s="849">
        <v>350</v>
      </c>
      <c r="D78" s="395">
        <f>T78*I78+350</f>
        <v>379.05</v>
      </c>
      <c r="E78" s="395">
        <f>IF(성적입력!$K$4="나형",U78*J78,U78*J78*1.05)</f>
        <v>71.662500000000009</v>
      </c>
      <c r="F78" s="395">
        <f t="shared" si="60"/>
        <v>86.1</v>
      </c>
      <c r="G78" s="396">
        <f>M78*L78*1.05</f>
        <v>93.712500000000006</v>
      </c>
      <c r="H78" s="165"/>
      <c r="I78" s="162">
        <f t="shared" si="107"/>
        <v>35</v>
      </c>
      <c r="J78" s="163">
        <f t="shared" si="90"/>
        <v>105</v>
      </c>
      <c r="K78" s="163">
        <f t="shared" si="91"/>
        <v>105</v>
      </c>
      <c r="L78" s="164">
        <f t="shared" si="92"/>
        <v>105</v>
      </c>
      <c r="M78" s="161">
        <f>((LARGE(N78:R78,1)+LARGE(N78:R78,2)))/2</f>
        <v>0.85</v>
      </c>
      <c r="N78" s="162">
        <f>성적입력!G$5/계산도구!$AA78</f>
        <v>0.87</v>
      </c>
      <c r="O78" s="163">
        <f>성적입력!H$5/계산도구!$AA78</f>
        <v>0.83</v>
      </c>
      <c r="P78" s="397">
        <f>성적입력!I$5/계산도구!$AA78</f>
        <v>0.83</v>
      </c>
      <c r="Q78" s="397">
        <f>성적입력!J$5/계산도구!$AA78</f>
        <v>0.03</v>
      </c>
      <c r="R78" s="398"/>
      <c r="S78" s="165"/>
      <c r="T78" s="166">
        <f>성적입력!D$5/계산도구!X78</f>
        <v>0.83</v>
      </c>
      <c r="U78" s="395">
        <f>성적입력!E$5/계산도구!Y78</f>
        <v>0.65</v>
      </c>
      <c r="V78" s="396">
        <f>성적입력!F$5/계산도구!Z78</f>
        <v>0.82</v>
      </c>
      <c r="W78" s="167"/>
      <c r="X78" s="160">
        <v>100</v>
      </c>
      <c r="Y78" s="168">
        <v>100</v>
      </c>
      <c r="Z78" s="168">
        <v>100</v>
      </c>
      <c r="AA78" s="168">
        <v>100</v>
      </c>
      <c r="AB78" s="169"/>
      <c r="AC78" s="165"/>
      <c r="AD78" s="1118">
        <v>0.1</v>
      </c>
      <c r="AE78" s="567">
        <v>0.3</v>
      </c>
      <c r="AF78" s="567">
        <v>0.3</v>
      </c>
      <c r="AG78" s="567">
        <v>0.3</v>
      </c>
      <c r="AH78" s="1417" t="s">
        <v>116</v>
      </c>
      <c r="AI78" s="1419"/>
      <c r="AJ78" s="158"/>
      <c r="AK78" s="724" t="s">
        <v>117</v>
      </c>
      <c r="AL78" s="168" t="s">
        <v>135</v>
      </c>
      <c r="AM78" s="168" t="s">
        <v>258</v>
      </c>
      <c r="AV78" s="725"/>
      <c r="AW78" s="615"/>
    </row>
    <row r="79" spans="1:49" s="547" customFormat="1" ht="14.25" thickBot="1">
      <c r="A79" s="900" t="s">
        <v>319</v>
      </c>
      <c r="B79" s="536" t="s">
        <v>113</v>
      </c>
      <c r="C79" s="569">
        <v>900</v>
      </c>
      <c r="D79" s="570">
        <f t="shared" ref="D79:D85" si="108">T79*I79</f>
        <v>120</v>
      </c>
      <c r="E79" s="570">
        <f>IF(성적입력!$K$4="나형",U79*J79,U79*J79+12)</f>
        <v>122.00000000000001</v>
      </c>
      <c r="F79" s="570">
        <f t="shared" si="60"/>
        <v>121</v>
      </c>
      <c r="G79" s="571">
        <f>M79</f>
        <v>189</v>
      </c>
      <c r="H79" s="540"/>
      <c r="I79" s="541">
        <f t="shared" si="107"/>
        <v>200</v>
      </c>
      <c r="J79" s="542">
        <f t="shared" si="90"/>
        <v>200</v>
      </c>
      <c r="K79" s="542">
        <f t="shared" si="91"/>
        <v>200</v>
      </c>
      <c r="L79" s="543">
        <f t="shared" si="92"/>
        <v>300</v>
      </c>
      <c r="M79" s="544">
        <f>(LARGE(N79:R79,1)+LARGE(N79:R79,2)+LARGE(N79:R79,3))</f>
        <v>189</v>
      </c>
      <c r="N79" s="541">
        <f>(IF(OR(성적입력!G$3="화2",성적입력!G$3="생2"),성적입력!G$4+3,성적입력!G$4))</f>
        <v>63</v>
      </c>
      <c r="O79" s="542">
        <f>IF(OR(성적입력!H$3="화2",성적입력!H$3="생2"),성적입력!H$4+3,성적입력!H$4)</f>
        <v>61</v>
      </c>
      <c r="P79" s="542">
        <f>IF(OR(성적입력!I$3="화2",성적입력!I$3="생2"),성적입력!I$4+3,성적입력!I$4)</f>
        <v>65</v>
      </c>
      <c r="Q79" s="542">
        <f>IF(OR(성적입력!J$3="화2",성적입력!J$3="생2"),성적입력!J$4+3,성적입력!J$4)</f>
        <v>39</v>
      </c>
      <c r="R79" s="572"/>
      <c r="S79" s="540"/>
      <c r="T79" s="545">
        <f>성적입력!D$4/계산도구!X79</f>
        <v>0.6</v>
      </c>
      <c r="U79" s="538">
        <f>성적입력!E$4/계산도구!Y79</f>
        <v>0.55000000000000004</v>
      </c>
      <c r="V79" s="539">
        <f>성적입력!F$4/계산도구!Z79</f>
        <v>0.60499999999999998</v>
      </c>
      <c r="W79" s="546"/>
      <c r="X79" s="537">
        <v>200</v>
      </c>
      <c r="Y79" s="547">
        <v>200</v>
      </c>
      <c r="Z79" s="547">
        <v>200</v>
      </c>
      <c r="AA79" s="547">
        <v>100</v>
      </c>
      <c r="AB79" s="548"/>
      <c r="AC79" s="540"/>
      <c r="AD79" s="579">
        <f>2/9</f>
        <v>0.22222222222222221</v>
      </c>
      <c r="AE79" s="570">
        <f>2/9</f>
        <v>0.22222222222222221</v>
      </c>
      <c r="AF79" s="570">
        <f>2/9</f>
        <v>0.22222222222222221</v>
      </c>
      <c r="AG79" s="570">
        <f>3/9</f>
        <v>0.33333333333333331</v>
      </c>
      <c r="AH79" s="547" t="s">
        <v>118</v>
      </c>
      <c r="AI79" s="1422" t="s">
        <v>119</v>
      </c>
      <c r="AJ79" s="1423"/>
      <c r="AK79" s="1424"/>
      <c r="AV79" s="723"/>
      <c r="AW79" s="537"/>
    </row>
    <row r="80" spans="1:49" s="168" customFormat="1" ht="14.25" thickBot="1">
      <c r="A80" s="863" t="s">
        <v>320</v>
      </c>
      <c r="B80" s="159" t="s">
        <v>113</v>
      </c>
      <c r="C80" s="160">
        <v>600</v>
      </c>
      <c r="D80" s="395">
        <f t="shared" si="108"/>
        <v>124.5</v>
      </c>
      <c r="E80" s="395">
        <f>U80*J80</f>
        <v>109.20000000000002</v>
      </c>
      <c r="F80" s="395">
        <f t="shared" si="60"/>
        <v>147.6</v>
      </c>
      <c r="G80" s="396">
        <f>M80*L80*1.05</f>
        <v>91.035000000000011</v>
      </c>
      <c r="H80" s="165"/>
      <c r="I80" s="162">
        <f t="shared" si="107"/>
        <v>150</v>
      </c>
      <c r="J80" s="163">
        <f t="shared" si="90"/>
        <v>168.00000000000003</v>
      </c>
      <c r="K80" s="163">
        <f t="shared" si="91"/>
        <v>180</v>
      </c>
      <c r="L80" s="164">
        <f t="shared" si="92"/>
        <v>102.00000000000001</v>
      </c>
      <c r="M80" s="161">
        <f>((LARGE(N80:R80,1)+LARGE(N80:R80,2)))/2</f>
        <v>0.85</v>
      </c>
      <c r="N80" s="162">
        <f>성적입력!G$5/계산도구!$AA80</f>
        <v>0.87</v>
      </c>
      <c r="O80" s="163">
        <f>성적입력!H$5/계산도구!$AA80</f>
        <v>0.83</v>
      </c>
      <c r="P80" s="397">
        <f>성적입력!I$5/계산도구!$AA80</f>
        <v>0.83</v>
      </c>
      <c r="Q80" s="397">
        <f>성적입력!J$5/계산도구!$AA80</f>
        <v>0.03</v>
      </c>
      <c r="R80" s="398"/>
      <c r="S80" s="165"/>
      <c r="T80" s="166">
        <f>성적입력!D$5/계산도구!X80</f>
        <v>0.83</v>
      </c>
      <c r="U80" s="395">
        <f>성적입력!E$5/계산도구!Y80</f>
        <v>0.65</v>
      </c>
      <c r="V80" s="396">
        <f>성적입력!F$5/계산도구!Z80</f>
        <v>0.82</v>
      </c>
      <c r="W80" s="167"/>
      <c r="X80" s="160">
        <v>100</v>
      </c>
      <c r="Y80" s="168">
        <v>100</v>
      </c>
      <c r="Z80" s="168">
        <v>100</v>
      </c>
      <c r="AA80" s="168">
        <v>100</v>
      </c>
      <c r="AB80" s="169"/>
      <c r="AC80" s="165"/>
      <c r="AD80" s="1118">
        <v>0.25</v>
      </c>
      <c r="AE80" s="567">
        <v>0.28000000000000003</v>
      </c>
      <c r="AF80" s="567">
        <v>0.3</v>
      </c>
      <c r="AG80" s="567">
        <v>0.17</v>
      </c>
      <c r="AH80" s="1417" t="s">
        <v>120</v>
      </c>
      <c r="AI80" s="1418"/>
      <c r="AJ80" s="1418"/>
      <c r="AK80" s="1419"/>
      <c r="AL80" s="168" t="s">
        <v>121</v>
      </c>
      <c r="AV80" s="725"/>
      <c r="AW80" s="615"/>
    </row>
    <row r="81" spans="1:49" s="392" customFormat="1" ht="14.25" thickBot="1">
      <c r="A81" s="908" t="s">
        <v>321</v>
      </c>
      <c r="B81" s="381" t="s">
        <v>122</v>
      </c>
      <c r="C81" s="574">
        <v>800</v>
      </c>
      <c r="D81" s="575">
        <f t="shared" si="108"/>
        <v>137.14285714285714</v>
      </c>
      <c r="E81" s="575">
        <f>U81*J81</f>
        <v>172.54901960784315</v>
      </c>
      <c r="F81" s="575">
        <f t="shared" si="60"/>
        <v>204.50704225352112</v>
      </c>
      <c r="G81" s="576">
        <f t="shared" ref="G81:G89" si="109">M81*L81</f>
        <v>134.93333333333334</v>
      </c>
      <c r="H81" s="385"/>
      <c r="I81" s="386">
        <f t="shared" si="107"/>
        <v>160</v>
      </c>
      <c r="J81" s="387">
        <f t="shared" si="90"/>
        <v>240</v>
      </c>
      <c r="K81" s="387">
        <f t="shared" si="91"/>
        <v>240</v>
      </c>
      <c r="L81" s="388">
        <f t="shared" si="92"/>
        <v>160</v>
      </c>
      <c r="M81" s="389">
        <f>(LARGE(N81:R81,1)+LARGE(N81:R81,2)+LARGE(N81:R81,3))/3</f>
        <v>0.84333333333333327</v>
      </c>
      <c r="N81" s="386">
        <f>(성적입력!G$5)/$AA81</f>
        <v>0.87</v>
      </c>
      <c r="O81" s="387">
        <f>(성적입력!H$5)/$AA81</f>
        <v>0.83</v>
      </c>
      <c r="P81" s="387">
        <f>(성적입력!I$5)/$AA81</f>
        <v>0.83</v>
      </c>
      <c r="Q81" s="387">
        <f>(성적입력!J$5)/$AA81</f>
        <v>0.03</v>
      </c>
      <c r="R81" s="573"/>
      <c r="S81" s="385"/>
      <c r="T81" s="390">
        <f>성적입력!D$4/X81</f>
        <v>0.8571428571428571</v>
      </c>
      <c r="U81" s="383">
        <f>성적입력!E$4/Y81</f>
        <v>0.71895424836601307</v>
      </c>
      <c r="V81" s="384">
        <f>성적입력!F$4/Z81</f>
        <v>0.852112676056338</v>
      </c>
      <c r="W81" s="391"/>
      <c r="X81" s="382">
        <f t="shared" ref="X81" si="110">AK$2</f>
        <v>140</v>
      </c>
      <c r="Y81" s="392">
        <f>IF(성적입력!$K$4="가형",AL$2,AM$2)</f>
        <v>153</v>
      </c>
      <c r="Z81" s="392">
        <f t="shared" ref="Z81" si="111">AN$2</f>
        <v>142</v>
      </c>
      <c r="AA81" s="392">
        <v>100</v>
      </c>
      <c r="AB81" s="393"/>
      <c r="AC81" s="385"/>
      <c r="AD81" s="1133">
        <v>0.2</v>
      </c>
      <c r="AE81" s="575">
        <v>0.3</v>
      </c>
      <c r="AF81" s="575">
        <v>0.3</v>
      </c>
      <c r="AG81" s="575">
        <v>0.2</v>
      </c>
      <c r="AI81" s="393"/>
      <c r="AJ81" s="380"/>
      <c r="AK81" s="738"/>
      <c r="AV81" s="739"/>
      <c r="AW81" s="382"/>
    </row>
    <row r="82" spans="1:49" s="333" customFormat="1" ht="14.25" thickBot="1">
      <c r="A82" s="891" t="s">
        <v>322</v>
      </c>
      <c r="B82" s="319" t="s">
        <v>122</v>
      </c>
      <c r="C82" s="320">
        <v>420</v>
      </c>
      <c r="D82" s="321">
        <f t="shared" si="108"/>
        <v>0</v>
      </c>
      <c r="E82" s="321">
        <f>IF(성적입력!$K$4="나형",U82*J82,U82*J82*1.05)</f>
        <v>100.3275</v>
      </c>
      <c r="F82" s="321">
        <f t="shared" si="60"/>
        <v>120.53999999999999</v>
      </c>
      <c r="G82" s="323">
        <f t="shared" si="109"/>
        <v>107.1</v>
      </c>
      <c r="H82" s="324"/>
      <c r="I82" s="325">
        <f t="shared" si="107"/>
        <v>0</v>
      </c>
      <c r="J82" s="326">
        <f t="shared" si="90"/>
        <v>147</v>
      </c>
      <c r="K82" s="326">
        <f t="shared" si="91"/>
        <v>147</v>
      </c>
      <c r="L82" s="327">
        <f t="shared" si="92"/>
        <v>126</v>
      </c>
      <c r="M82" s="328">
        <f>(LARGE(N82:R82,1)+LARGE(N82:R82,2))/2</f>
        <v>0.85</v>
      </c>
      <c r="N82" s="325">
        <f>성적입력!G$5/계산도구!$AA82</f>
        <v>0.87</v>
      </c>
      <c r="O82" s="326">
        <f>성적입력!H$5/계산도구!$AA82</f>
        <v>0.83</v>
      </c>
      <c r="P82" s="329">
        <f>성적입력!I$5/계산도구!$AA82</f>
        <v>0.83</v>
      </c>
      <c r="Q82" s="329">
        <f>성적입력!J$5/계산도구!$AA82</f>
        <v>0.03</v>
      </c>
      <c r="R82" s="330"/>
      <c r="S82" s="324"/>
      <c r="T82" s="331">
        <f>성적입력!D$5/계산도구!X82</f>
        <v>0.83</v>
      </c>
      <c r="U82" s="321">
        <f>성적입력!E$5/계산도구!Y82</f>
        <v>0.65</v>
      </c>
      <c r="V82" s="323">
        <f>성적입력!F$5/계산도구!Z82</f>
        <v>0.82</v>
      </c>
      <c r="W82" s="332"/>
      <c r="X82" s="320">
        <v>100</v>
      </c>
      <c r="Y82" s="333">
        <v>100</v>
      </c>
      <c r="Z82" s="333">
        <v>100</v>
      </c>
      <c r="AA82" s="333">
        <v>100</v>
      </c>
      <c r="AB82" s="334"/>
      <c r="AC82" s="324"/>
      <c r="AD82" s="1096"/>
      <c r="AE82" s="963">
        <v>0.35</v>
      </c>
      <c r="AF82" s="963">
        <v>0.35</v>
      </c>
      <c r="AG82" s="964">
        <v>0.3</v>
      </c>
      <c r="AH82" s="324" t="s">
        <v>123</v>
      </c>
      <c r="AI82" s="274"/>
      <c r="AJ82" s="335"/>
      <c r="AK82" s="713"/>
      <c r="AV82" s="714"/>
      <c r="AW82" s="320"/>
    </row>
    <row r="83" spans="1:49" s="333" customFormat="1" ht="14.25" thickBot="1">
      <c r="A83" s="891" t="s">
        <v>323</v>
      </c>
      <c r="B83" s="319" t="s">
        <v>122</v>
      </c>
      <c r="C83" s="320">
        <v>600</v>
      </c>
      <c r="D83" s="321">
        <f t="shared" si="108"/>
        <v>0</v>
      </c>
      <c r="E83" s="321">
        <f>U83*J83</f>
        <v>132.60000000000002</v>
      </c>
      <c r="F83" s="321">
        <f t="shared" si="60"/>
        <v>162.35999999999999</v>
      </c>
      <c r="G83" s="323">
        <f t="shared" si="109"/>
        <v>168.29999999999998</v>
      </c>
      <c r="H83" s="324"/>
      <c r="I83" s="325">
        <f t="shared" si="107"/>
        <v>0</v>
      </c>
      <c r="J83" s="326">
        <f t="shared" si="90"/>
        <v>204.00000000000003</v>
      </c>
      <c r="K83" s="326">
        <f t="shared" si="91"/>
        <v>198</v>
      </c>
      <c r="L83" s="327">
        <f t="shared" si="92"/>
        <v>198</v>
      </c>
      <c r="M83" s="328">
        <f>(LARGE(N83:R83,1)+LARGE(N83:R83,2))/2</f>
        <v>0.85</v>
      </c>
      <c r="N83" s="325">
        <f>성적입력!G$5/계산도구!$AA83</f>
        <v>0.87</v>
      </c>
      <c r="O83" s="326">
        <f>성적입력!H$5/계산도구!$AA83</f>
        <v>0.83</v>
      </c>
      <c r="P83" s="329">
        <f>성적입력!I$5/계산도구!$AA83</f>
        <v>0.83</v>
      </c>
      <c r="Q83" s="329">
        <f>성적입력!J$5/계산도구!$AA83</f>
        <v>0.03</v>
      </c>
      <c r="R83" s="330"/>
      <c r="S83" s="324"/>
      <c r="T83" s="331">
        <f>성적입력!D$5/계산도구!X83</f>
        <v>0.83</v>
      </c>
      <c r="U83" s="321">
        <f>성적입력!E$5/계산도구!Y83</f>
        <v>0.65</v>
      </c>
      <c r="V83" s="323">
        <f>성적입력!F$5/계산도구!Z83</f>
        <v>0.82</v>
      </c>
      <c r="W83" s="332"/>
      <c r="X83" s="320">
        <v>100</v>
      </c>
      <c r="Y83" s="333">
        <v>100</v>
      </c>
      <c r="Z83" s="333">
        <v>100</v>
      </c>
      <c r="AA83" s="333">
        <v>100</v>
      </c>
      <c r="AB83" s="334"/>
      <c r="AC83" s="324"/>
      <c r="AD83" s="1096"/>
      <c r="AE83" s="963">
        <v>0.34</v>
      </c>
      <c r="AF83" s="963">
        <v>0.33</v>
      </c>
      <c r="AG83" s="964">
        <v>0.33</v>
      </c>
      <c r="AH83" s="324" t="s">
        <v>136</v>
      </c>
      <c r="AI83" s="274"/>
      <c r="AJ83" s="335"/>
      <c r="AK83" s="713"/>
      <c r="AV83" s="714"/>
      <c r="AW83" s="320"/>
    </row>
    <row r="84" spans="1:49" s="168" customFormat="1" ht="14.25" thickBot="1">
      <c r="A84" s="863" t="s">
        <v>324</v>
      </c>
      <c r="B84" s="159" t="s">
        <v>113</v>
      </c>
      <c r="C84" s="566">
        <v>750</v>
      </c>
      <c r="D84" s="567">
        <f t="shared" si="108"/>
        <v>155.625</v>
      </c>
      <c r="E84" s="321">
        <f>IF(성적입력!$K$4="나형",U84*J84,U84*J84*1.15)</f>
        <v>140.15625</v>
      </c>
      <c r="F84" s="567">
        <f t="shared" si="60"/>
        <v>153.75</v>
      </c>
      <c r="G84" s="568">
        <f t="shared" si="109"/>
        <v>160.71875</v>
      </c>
      <c r="H84" s="165"/>
      <c r="I84" s="162">
        <f t="shared" si="107"/>
        <v>187.5</v>
      </c>
      <c r="J84" s="163">
        <f t="shared" si="90"/>
        <v>187.5</v>
      </c>
      <c r="K84" s="163">
        <f t="shared" si="91"/>
        <v>187.5</v>
      </c>
      <c r="L84" s="164">
        <f t="shared" si="92"/>
        <v>187.5</v>
      </c>
      <c r="M84" s="161">
        <f>(LARGE(N84:R84,1)+LARGE(N84:R84,2)+LARGE(N84:R84,3))/3</f>
        <v>0.85716666666666663</v>
      </c>
      <c r="N84" s="162">
        <f>(IF(OR(성적입력!G$3="화2",성적입력!G$3="생2"),성적입력!G$5*1.05,성적입력!G$5))/$AA84</f>
        <v>0.87</v>
      </c>
      <c r="O84" s="163">
        <f>(IF(OR(성적입력!H$3="화2",성적입력!H$3="생2"),성적입력!H$5*1.05,성적입력!H$5))/$AA84</f>
        <v>0.83</v>
      </c>
      <c r="P84" s="163">
        <f>(IF(OR(성적입력!I$3="화2",성적입력!I$3="생2"),성적입력!I$5*1.05,성적입력!I$5))/$AA84</f>
        <v>0.87150000000000005</v>
      </c>
      <c r="Q84" s="163">
        <f>(IF(OR(성적입력!J$3="화2",성적입력!J$3="생2"),성적입력!J$5*1.05,성적입력!J$5))/$AA84</f>
        <v>3.15E-2</v>
      </c>
      <c r="R84" s="398"/>
      <c r="S84" s="165"/>
      <c r="T84" s="331">
        <f>성적입력!D$5/계산도구!X84</f>
        <v>0.83</v>
      </c>
      <c r="U84" s="321">
        <f>성적입력!E$5/계산도구!Y84</f>
        <v>0.65</v>
      </c>
      <c r="V84" s="323">
        <f>성적입력!F$5/계산도구!Z84</f>
        <v>0.82</v>
      </c>
      <c r="W84" s="167"/>
      <c r="X84" s="160">
        <v>100</v>
      </c>
      <c r="Y84" s="168">
        <v>100</v>
      </c>
      <c r="Z84" s="168">
        <v>100</v>
      </c>
      <c r="AA84" s="168">
        <v>100</v>
      </c>
      <c r="AB84" s="169"/>
      <c r="AC84" s="165"/>
      <c r="AD84" s="1118">
        <v>0.25</v>
      </c>
      <c r="AE84" s="567">
        <v>0.25</v>
      </c>
      <c r="AF84" s="567">
        <v>0.25</v>
      </c>
      <c r="AG84" s="567">
        <v>0.25</v>
      </c>
      <c r="AH84" s="168" t="s">
        <v>124</v>
      </c>
      <c r="AI84" s="1417" t="s">
        <v>125</v>
      </c>
      <c r="AJ84" s="1418"/>
      <c r="AK84" s="1419"/>
      <c r="AV84" s="725"/>
      <c r="AW84" s="615"/>
    </row>
    <row r="85" spans="1:49" s="922" customFormat="1">
      <c r="A85" s="905" t="s">
        <v>382</v>
      </c>
      <c r="B85" s="154" t="s">
        <v>371</v>
      </c>
      <c r="C85" s="1015">
        <v>500</v>
      </c>
      <c r="D85" s="1016">
        <f t="shared" si="108"/>
        <v>107.14285714285714</v>
      </c>
      <c r="E85" s="1016">
        <f>U85*J85</f>
        <v>98.856209150326791</v>
      </c>
      <c r="F85" s="1016">
        <f t="shared" si="60"/>
        <v>117.16549295774648</v>
      </c>
      <c r="G85" s="1017">
        <f t="shared" si="109"/>
        <v>88.986634460547492</v>
      </c>
      <c r="H85" s="925"/>
      <c r="I85" s="110">
        <f t="shared" si="107"/>
        <v>125</v>
      </c>
      <c r="J85" s="111">
        <f t="shared" si="90"/>
        <v>137.5</v>
      </c>
      <c r="K85" s="111">
        <f t="shared" si="91"/>
        <v>137.5</v>
      </c>
      <c r="L85" s="118">
        <f t="shared" si="92"/>
        <v>100</v>
      </c>
      <c r="M85" s="179">
        <f>(LARGE(N85:R85,1)+LARGE(N85:R85,2)+LARGE(N85:R85,3))/3</f>
        <v>0.88986634460547498</v>
      </c>
      <c r="N85" s="110">
        <f>(IF(OR(성적입력!G$3="물2",성적입력!G$3="화2",성적입력!G$3="생2",성적입력!G$3="지2"),IF(성적입력!G$3=0,0,성적입력!G$4/HLOOKUP(성적입력!G$3,계산도구!$AK$1:$AV$3,2,FALSE))*1.1,IF(성적입력!G$3=0,0,성적입력!G$4/HLOOKUP(성적입력!G$3,계산도구!$AK$1:$AV$3,2,FALSE))))</f>
        <v>0.91304347826086951</v>
      </c>
      <c r="O85" s="110">
        <f>(IF(OR(성적입력!H$3="물2",성적입력!H$3="화2",성적입력!H$3="생2",성적입력!H$3="지2"),IF(성적입력!H$3=0,0,성적입력!H$4/HLOOKUP(성적입력!H$3,계산도구!$AK$1:$AV$3,2,FALSE))*1.1,IF(성적입력!H$3=0,0,성적입력!H$4/HLOOKUP(성적입력!H$3,계산도구!$AK$1:$AV$3,2,FALSE))))</f>
        <v>0.84722222222222221</v>
      </c>
      <c r="P85" s="110">
        <f>(IF(OR(성적입력!I$3="물2",성적입력!I$3="화2",성적입력!I$3="생2",성적입력!I$3="지2"),IF(성적입력!I$3=0,0,성적입력!I$4/HLOOKUP(성적입력!I$3,계산도구!$AK$1:$AV$3,2,FALSE))*1.1,IF(성적입력!I$3=0,0,성적입력!I$4/HLOOKUP(성적입력!I$3,계산도구!$AK$1:$AV$3,2,FALSE))))</f>
        <v>0.90933333333333344</v>
      </c>
      <c r="Q85" s="110">
        <f>(IF(OR(성적입력!J$3="물2",성적입력!J$3="화2",성적입력!J$3="생2",성적입력!J$3="지2"),IF(성적입력!J$3=0,0,성적입력!J$4/HLOOKUP(성적입력!J$3,계산도구!$AK$1:$AV$3,2,FALSE))*1.1,IF(성적입력!J$3=0,0,성적입력!J$4/HLOOKUP(성적입력!J$3,계산도구!$AK$1:$AV$3,2,FALSE))))</f>
        <v>0.55774647887323947</v>
      </c>
      <c r="R85" s="115"/>
      <c r="S85" s="925"/>
      <c r="T85" s="112">
        <f>성적입력!D$4/계산도구!X85</f>
        <v>0.8571428571428571</v>
      </c>
      <c r="U85" s="108">
        <f>성적입력!E$4/계산도구!Y85</f>
        <v>0.71895424836601307</v>
      </c>
      <c r="V85" s="109">
        <f>성적입력!F$4/계산도구!Z85</f>
        <v>0.852112676056338</v>
      </c>
      <c r="W85" s="113"/>
      <c r="X85" s="107">
        <f t="shared" ref="X85" si="112">AK$2</f>
        <v>140</v>
      </c>
      <c r="Y85" s="922">
        <f>IF(성적입력!$K$4="가형",AL$2,AM$2)</f>
        <v>153</v>
      </c>
      <c r="Z85" s="922">
        <f t="shared" ref="Z85" si="113">AN$2</f>
        <v>142</v>
      </c>
      <c r="AB85" s="114"/>
      <c r="AC85" s="925"/>
      <c r="AD85" s="1129">
        <v>0.25</v>
      </c>
      <c r="AE85" s="1016">
        <v>0.27500000000000002</v>
      </c>
      <c r="AF85" s="1016">
        <v>0.27500000000000002</v>
      </c>
      <c r="AG85" s="1016">
        <v>0.2</v>
      </c>
      <c r="AI85" s="1433" t="s">
        <v>126</v>
      </c>
      <c r="AJ85" s="1434"/>
      <c r="AK85" s="1435"/>
      <c r="AV85" s="705"/>
      <c r="AW85" s="107"/>
    </row>
    <row r="86" spans="1:49" s="36" customFormat="1">
      <c r="A86" s="1021" t="s">
        <v>372</v>
      </c>
      <c r="B86" s="1022" t="s">
        <v>374</v>
      </c>
      <c r="C86" s="1023">
        <v>500</v>
      </c>
      <c r="D86" s="1024">
        <f t="shared" ref="D86:D87" si="114">T86*I86</f>
        <v>107.14285714285714</v>
      </c>
      <c r="E86" s="1024">
        <f>IF(성적입력!$K$4="나형",U86*J86,U86*J86*1.2)</f>
        <v>118.62745098039214</v>
      </c>
      <c r="F86" s="1024">
        <f t="shared" ref="F86:F87" si="115">V86*K86</f>
        <v>117.16549295774648</v>
      </c>
      <c r="G86" s="1025">
        <f t="shared" ref="G86:G87" si="116">M86*L86</f>
        <v>86.231078904991961</v>
      </c>
      <c r="H86" s="43"/>
      <c r="I86" s="1026">
        <f t="shared" ref="I86:I87" si="117">AD86*$C86</f>
        <v>125</v>
      </c>
      <c r="J86" s="1027">
        <f t="shared" ref="J86:J87" si="118">AE86*$C86</f>
        <v>137.5</v>
      </c>
      <c r="K86" s="1027">
        <f t="shared" ref="K86:K87" si="119">AF86*$C86</f>
        <v>137.5</v>
      </c>
      <c r="L86" s="1028">
        <f t="shared" ref="L86:L87" si="120">AG86*$C86</f>
        <v>100</v>
      </c>
      <c r="M86" s="1029">
        <f>(LARGE(N86:R86,1)+LARGE(N86:R86,2)+LARGE(N86:R86,3))/3</f>
        <v>0.86231078904991953</v>
      </c>
      <c r="N86" s="1026">
        <f>IF(성적입력!G$3=0,0,성적입력!G$4/HLOOKUP(성적입력!G$3,계산도구!$AK$1:$AV$3,2,FALSE))</f>
        <v>0.91304347826086951</v>
      </c>
      <c r="O86" s="1026">
        <f>IF(성적입력!H$3=0,0,성적입력!H$4/HLOOKUP(성적입력!H$3,계산도구!$AK$1:$AV$3,2,FALSE))</f>
        <v>0.84722222222222221</v>
      </c>
      <c r="P86" s="1026">
        <f>IF(성적입력!I$3=0,0,성적입력!I$4/HLOOKUP(성적입력!I$3,계산도구!$AK$1:$AV$3,2,FALSE))</f>
        <v>0.82666666666666666</v>
      </c>
      <c r="Q86" s="1026">
        <f>IF(성적입력!J$3=0,0,성적입력!J$4/HLOOKUP(성적입력!J$3,계산도구!$AK$1:$AV$3,2,FALSE))</f>
        <v>0.50704225352112675</v>
      </c>
      <c r="R86" s="80"/>
      <c r="S86" s="43"/>
      <c r="T86" s="1030">
        <f>성적입력!D$4/계산도구!X86</f>
        <v>0.8571428571428571</v>
      </c>
      <c r="U86" s="1031">
        <f>성적입력!E$4/계산도구!Y86</f>
        <v>0.71895424836601307</v>
      </c>
      <c r="V86" s="1032">
        <f>성적입력!F$4/계산도구!Z86</f>
        <v>0.852112676056338</v>
      </c>
      <c r="W86" s="1033"/>
      <c r="X86" s="79">
        <f t="shared" ref="X86:X87" si="121">AK$2</f>
        <v>140</v>
      </c>
      <c r="Y86" s="36">
        <f>IF(성적입력!$K$4="가형",AL$2,AM$2)</f>
        <v>153</v>
      </c>
      <c r="Z86" s="36">
        <f t="shared" ref="Z86:Z87" si="122">AN$2</f>
        <v>142</v>
      </c>
      <c r="AB86" s="81"/>
      <c r="AC86" s="43"/>
      <c r="AD86" s="1134">
        <v>0.25</v>
      </c>
      <c r="AE86" s="1024">
        <v>0.27500000000000002</v>
      </c>
      <c r="AF86" s="1024">
        <v>0.27500000000000002</v>
      </c>
      <c r="AG86" s="1024">
        <v>0.2</v>
      </c>
      <c r="AI86" s="1442" t="s">
        <v>378</v>
      </c>
      <c r="AJ86" s="1443"/>
      <c r="AK86" s="1444"/>
      <c r="AV86" s="61"/>
      <c r="AW86" s="79"/>
    </row>
    <row r="87" spans="1:49" s="105" customFormat="1">
      <c r="A87" s="1034" t="s">
        <v>373</v>
      </c>
      <c r="B87" s="156" t="s">
        <v>375</v>
      </c>
      <c r="C87" s="1035">
        <v>500</v>
      </c>
      <c r="D87" s="988">
        <f t="shared" si="114"/>
        <v>107.14285714285714</v>
      </c>
      <c r="E87" s="988">
        <f>IF(성적입력!$K$4="나형",U87*J87,U87*J87*1.2)</f>
        <v>118.62745098039214</v>
      </c>
      <c r="F87" s="988">
        <f t="shared" si="115"/>
        <v>117.16549295774648</v>
      </c>
      <c r="G87" s="989">
        <f t="shared" si="116"/>
        <v>88.986634460547492</v>
      </c>
      <c r="H87" s="38"/>
      <c r="I87" s="101">
        <f t="shared" si="117"/>
        <v>125</v>
      </c>
      <c r="J87" s="102">
        <f t="shared" si="118"/>
        <v>137.5</v>
      </c>
      <c r="K87" s="102">
        <f t="shared" si="119"/>
        <v>137.5</v>
      </c>
      <c r="L87" s="119">
        <f t="shared" si="120"/>
        <v>100</v>
      </c>
      <c r="M87" s="181">
        <f>(LARGE(N87:R87,1)+LARGE(N87:R87,2)+LARGE(N87:R87,3))/3</f>
        <v>0.88986634460547498</v>
      </c>
      <c r="N87" s="101">
        <f>(IF(OR(성적입력!G$3="물2",성적입력!G$3="화2",성적입력!G$3="생2",성적입력!G$3="지2"),IF(성적입력!G$3=0,0,성적입력!G$4/HLOOKUP(성적입력!G$3,계산도구!$AK$1:$AV$3,2,FALSE))*1.1,IF(성적입력!G$3=0,0,성적입력!G$4/HLOOKUP(성적입력!G$3,계산도구!$AK$1:$AV$3,2,FALSE))))</f>
        <v>0.91304347826086951</v>
      </c>
      <c r="O87" s="101">
        <f>(IF(OR(성적입력!H$3="물2",성적입력!H$3="화2",성적입력!H$3="생2",성적입력!H$3="지2"),IF(성적입력!H$3=0,0,성적입력!H$4/HLOOKUP(성적입력!H$3,계산도구!$AK$1:$AV$3,2,FALSE))*1.1,IF(성적입력!H$3=0,0,성적입력!H$4/HLOOKUP(성적입력!H$3,계산도구!$AK$1:$AV$3,2,FALSE))))</f>
        <v>0.84722222222222221</v>
      </c>
      <c r="P87" s="101">
        <f>(IF(OR(성적입력!I$3="물2",성적입력!I$3="화2",성적입력!I$3="생2",성적입력!I$3="지2"),IF(성적입력!I$3=0,0,성적입력!I$4/HLOOKUP(성적입력!I$3,계산도구!$AK$1:$AV$3,2,FALSE))*1.1,IF(성적입력!I$3=0,0,성적입력!I$4/HLOOKUP(성적입력!I$3,계산도구!$AK$1:$AV$3,2,FALSE))))</f>
        <v>0.90933333333333344</v>
      </c>
      <c r="Q87" s="101">
        <f>(IF(OR(성적입력!J$3="물2",성적입력!J$3="화2",성적입력!J$3="생2",성적입력!J$3="지2"),IF(성적입력!J$3=0,0,성적입력!J$4/HLOOKUP(성적입력!J$3,계산도구!$AK$1:$AV$3,2,FALSE))*1.1,IF(성적입력!J$3=0,0,성적입력!J$4/HLOOKUP(성적입력!J$3,계산도구!$AK$1:$AV$3,2,FALSE))))</f>
        <v>0.55774647887323947</v>
      </c>
      <c r="R87" s="990"/>
      <c r="S87" s="38"/>
      <c r="T87" s="103">
        <f>성적입력!D$4/계산도구!X87</f>
        <v>0.8571428571428571</v>
      </c>
      <c r="U87" s="99">
        <f>성적입력!E$4/계산도구!Y87</f>
        <v>0.71895424836601307</v>
      </c>
      <c r="V87" s="100">
        <f>성적입력!F$4/계산도구!Z87</f>
        <v>0.852112676056338</v>
      </c>
      <c r="W87" s="104"/>
      <c r="X87" s="98">
        <f t="shared" si="121"/>
        <v>140</v>
      </c>
      <c r="Y87" s="105">
        <f>IF(성적입력!$K$4="가형",AL$2,AM$2)</f>
        <v>153</v>
      </c>
      <c r="Z87" s="105">
        <f t="shared" si="122"/>
        <v>142</v>
      </c>
      <c r="AB87" s="97"/>
      <c r="AC87" s="38"/>
      <c r="AD87" s="1076">
        <v>0.25</v>
      </c>
      <c r="AE87" s="988">
        <v>0.27500000000000002</v>
      </c>
      <c r="AF87" s="988">
        <v>0.27500000000000002</v>
      </c>
      <c r="AG87" s="988">
        <v>0.2</v>
      </c>
      <c r="AI87" s="1445" t="s">
        <v>379</v>
      </c>
      <c r="AJ87" s="1446"/>
      <c r="AK87" s="1447"/>
      <c r="AV87" s="706"/>
      <c r="AW87" s="98"/>
    </row>
    <row r="88" spans="1:49" s="40" customFormat="1" ht="14.25" thickBot="1">
      <c r="A88" s="882" t="s">
        <v>376</v>
      </c>
      <c r="B88" s="155" t="s">
        <v>377</v>
      </c>
      <c r="C88" s="1018">
        <v>500</v>
      </c>
      <c r="D88" s="1019">
        <f t="shared" ref="D88" si="123">T88*I88</f>
        <v>107.14285714285714</v>
      </c>
      <c r="E88" s="1019">
        <f>U88*J88</f>
        <v>98.856209150326791</v>
      </c>
      <c r="F88" s="1019">
        <f t="shared" ref="F88" si="124">V88*K88</f>
        <v>117.16549295774648</v>
      </c>
      <c r="G88" s="1020">
        <f t="shared" ref="G88" si="125">M88*L88</f>
        <v>86.231078904991961</v>
      </c>
      <c r="H88" s="44"/>
      <c r="I88" s="86">
        <f t="shared" ref="I88" si="126">AD88*$C88</f>
        <v>125</v>
      </c>
      <c r="J88" s="87">
        <f t="shared" ref="J88" si="127">AE88*$C88</f>
        <v>137.5</v>
      </c>
      <c r="K88" s="87">
        <f t="shared" ref="K88" si="128">AF88*$C88</f>
        <v>137.5</v>
      </c>
      <c r="L88" s="120">
        <f t="shared" ref="L88" si="129">AG88*$C88</f>
        <v>100</v>
      </c>
      <c r="M88" s="180">
        <f>(LARGE(N88:R88,1)+LARGE(N88:R88,2)+LARGE(N88:R88,3))/3</f>
        <v>0.86231078904991953</v>
      </c>
      <c r="N88" s="1026">
        <f>IF(성적입력!G$3=0,0,성적입력!G$4/HLOOKUP(성적입력!G$3,계산도구!$AK$1:$AV$3,2,FALSE))</f>
        <v>0.91304347826086951</v>
      </c>
      <c r="O88" s="1026">
        <f>IF(성적입력!H$3=0,0,성적입력!H$4/HLOOKUP(성적입력!H$3,계산도구!$AK$1:$AV$3,2,FALSE))</f>
        <v>0.84722222222222221</v>
      </c>
      <c r="P88" s="1026">
        <f>IF(성적입력!I$3=0,0,성적입력!I$4/HLOOKUP(성적입력!I$3,계산도구!$AK$1:$AV$3,2,FALSE))</f>
        <v>0.82666666666666666</v>
      </c>
      <c r="Q88" s="1026">
        <f>IF(성적입력!J$3=0,0,성적입력!J$4/HLOOKUP(성적입력!J$3,계산도구!$AK$1:$AV$3,2,FALSE))</f>
        <v>0.50704225352112675</v>
      </c>
      <c r="R88" s="89"/>
      <c r="S88" s="44"/>
      <c r="T88" s="90">
        <f>성적입력!D$4/계산도구!X88</f>
        <v>0.8571428571428571</v>
      </c>
      <c r="U88" s="84">
        <f>성적입력!E$4/계산도구!Y88</f>
        <v>0.71895424836601307</v>
      </c>
      <c r="V88" s="85">
        <f>성적입력!F$4/계산도구!Z88</f>
        <v>0.852112676056338</v>
      </c>
      <c r="W88" s="91"/>
      <c r="X88" s="83">
        <f t="shared" ref="X88" si="130">AK$2</f>
        <v>140</v>
      </c>
      <c r="Y88" s="40">
        <f>IF(성적입력!$K$4="가형",AL$2,AM$2)</f>
        <v>153</v>
      </c>
      <c r="Z88" s="40">
        <f t="shared" ref="Z88" si="131">AN$2</f>
        <v>142</v>
      </c>
      <c r="AB88" s="92"/>
      <c r="AC88" s="44"/>
      <c r="AD88" s="1075">
        <v>0.25</v>
      </c>
      <c r="AE88" s="1019">
        <v>0.27500000000000002</v>
      </c>
      <c r="AF88" s="1019">
        <v>0.27500000000000002</v>
      </c>
      <c r="AG88" s="1019">
        <v>0.2</v>
      </c>
      <c r="AI88" s="1448" t="s">
        <v>380</v>
      </c>
      <c r="AJ88" s="1449"/>
      <c r="AK88" s="1450"/>
      <c r="AV88" s="62"/>
      <c r="AW88" s="83"/>
    </row>
    <row r="89" spans="1:49" s="333" customFormat="1">
      <c r="A89" s="891" t="s">
        <v>357</v>
      </c>
      <c r="B89" s="319" t="s">
        <v>361</v>
      </c>
      <c r="C89" s="962">
        <v>200</v>
      </c>
      <c r="D89" s="963">
        <f>T89*I89+400</f>
        <v>433.2</v>
      </c>
      <c r="E89" s="963">
        <f>U89*J89</f>
        <v>39</v>
      </c>
      <c r="F89" s="963">
        <f t="shared" si="60"/>
        <v>49.199999999999996</v>
      </c>
      <c r="G89" s="964">
        <f t="shared" si="109"/>
        <v>34</v>
      </c>
      <c r="H89" s="324"/>
      <c r="I89" s="325">
        <f t="shared" si="107"/>
        <v>40</v>
      </c>
      <c r="J89" s="326">
        <f t="shared" si="90"/>
        <v>60</v>
      </c>
      <c r="K89" s="326">
        <f t="shared" si="91"/>
        <v>60</v>
      </c>
      <c r="L89" s="327">
        <f t="shared" si="92"/>
        <v>40</v>
      </c>
      <c r="M89" s="610">
        <f>(LARGE(N89:R89,1)+LARGE(N89:R89,2))/2</f>
        <v>0.85</v>
      </c>
      <c r="N89" s="325">
        <f>성적입력!G$5/계산도구!$AA89</f>
        <v>0.87</v>
      </c>
      <c r="O89" s="326">
        <f>성적입력!H$5/계산도구!$AA89</f>
        <v>0.83</v>
      </c>
      <c r="P89" s="329">
        <f>성적입력!I$5/계산도구!$AA89</f>
        <v>0.83</v>
      </c>
      <c r="Q89" s="329">
        <f>성적입력!J$5/계산도구!$AA89</f>
        <v>0.03</v>
      </c>
      <c r="R89" s="330"/>
      <c r="S89" s="324"/>
      <c r="T89" s="331">
        <f>성적입력!D$5/계산도구!X89</f>
        <v>0.83</v>
      </c>
      <c r="U89" s="321">
        <f>성적입력!E$5/계산도구!Y89</f>
        <v>0.65</v>
      </c>
      <c r="V89" s="323">
        <f>성적입력!F$5/계산도구!Z89</f>
        <v>0.82</v>
      </c>
      <c r="W89" s="332"/>
      <c r="X89" s="320">
        <v>100</v>
      </c>
      <c r="Y89" s="333">
        <v>100</v>
      </c>
      <c r="Z89" s="333">
        <v>100</v>
      </c>
      <c r="AA89" s="333">
        <v>100</v>
      </c>
      <c r="AB89" s="334"/>
      <c r="AC89" s="324"/>
      <c r="AD89" s="1096">
        <v>0.2</v>
      </c>
      <c r="AE89" s="963">
        <v>0.3</v>
      </c>
      <c r="AF89" s="963">
        <v>0.3</v>
      </c>
      <c r="AG89" s="963">
        <v>0.2</v>
      </c>
      <c r="AH89" s="1436" t="s">
        <v>127</v>
      </c>
      <c r="AI89" s="1437"/>
      <c r="AJ89" s="335"/>
      <c r="AK89" s="965" t="s">
        <v>128</v>
      </c>
      <c r="AV89" s="714"/>
      <c r="AW89" s="320"/>
    </row>
    <row r="90" spans="1:49" s="141" customFormat="1" ht="14.25" thickBot="1">
      <c r="A90" s="893" t="s">
        <v>358</v>
      </c>
      <c r="B90" s="778" t="s">
        <v>362</v>
      </c>
      <c r="C90" s="966">
        <v>200</v>
      </c>
      <c r="D90" s="967">
        <f>T90*I90+380</f>
        <v>413.2</v>
      </c>
      <c r="E90" s="967">
        <f>IF(성적입력!$K$4="나형",U90*J90,U90*J90+U90*20)</f>
        <v>52</v>
      </c>
      <c r="F90" s="967">
        <f t="shared" ref="F90" si="132">V90*K90</f>
        <v>49.199999999999996</v>
      </c>
      <c r="G90" s="968">
        <f t="shared" ref="G90" si="133">M90*L90</f>
        <v>34</v>
      </c>
      <c r="H90" s="139"/>
      <c r="I90" s="781">
        <f t="shared" ref="I90" si="134">AD90*$C90</f>
        <v>40</v>
      </c>
      <c r="J90" s="782">
        <f t="shared" ref="J90" si="135">AE90*$C90</f>
        <v>60</v>
      </c>
      <c r="K90" s="782">
        <f t="shared" ref="K90" si="136">AF90*$C90</f>
        <v>60</v>
      </c>
      <c r="L90" s="783">
        <f t="shared" ref="L90" si="137">AG90*$C90</f>
        <v>40</v>
      </c>
      <c r="M90" s="969">
        <f>(LARGE(N90:R90,1)+LARGE(N90:R90,2))/2</f>
        <v>0.85</v>
      </c>
      <c r="N90" s="781">
        <f>성적입력!G$5/계산도구!$AA90</f>
        <v>0.87</v>
      </c>
      <c r="O90" s="782">
        <f>성적입력!H$5/계산도구!$AA90</f>
        <v>0.83</v>
      </c>
      <c r="P90" s="785">
        <f>성적입력!I$5/계산도구!$AA90</f>
        <v>0.83</v>
      </c>
      <c r="Q90" s="785">
        <f>성적입력!J$5/계산도구!$AA90</f>
        <v>0.03</v>
      </c>
      <c r="R90" s="786"/>
      <c r="S90" s="139"/>
      <c r="T90" s="787">
        <f>성적입력!D$5/계산도구!X90</f>
        <v>0.83</v>
      </c>
      <c r="U90" s="779">
        <f>성적입력!E$5/계산도구!Y90</f>
        <v>0.65</v>
      </c>
      <c r="V90" s="780">
        <f>성적입력!F$5/계산도구!Z90</f>
        <v>0.82</v>
      </c>
      <c r="W90" s="788"/>
      <c r="X90" s="140">
        <v>100</v>
      </c>
      <c r="Y90" s="141">
        <v>100</v>
      </c>
      <c r="Z90" s="141">
        <v>100</v>
      </c>
      <c r="AA90" s="141">
        <v>100</v>
      </c>
      <c r="AB90" s="142"/>
      <c r="AC90" s="139"/>
      <c r="AD90" s="1135">
        <v>0.2</v>
      </c>
      <c r="AE90" s="967">
        <v>0.3</v>
      </c>
      <c r="AF90" s="967">
        <v>0.3</v>
      </c>
      <c r="AG90" s="967">
        <v>0.2</v>
      </c>
      <c r="AH90" s="1438" t="s">
        <v>127</v>
      </c>
      <c r="AI90" s="1439"/>
      <c r="AJ90" s="777"/>
      <c r="AK90" s="970" t="s">
        <v>117</v>
      </c>
      <c r="AL90" s="141" t="s">
        <v>363</v>
      </c>
      <c r="AM90" s="141" t="s">
        <v>364</v>
      </c>
      <c r="AN90" s="141" t="s">
        <v>365</v>
      </c>
      <c r="AV90" s="791"/>
      <c r="AW90" s="140"/>
    </row>
    <row r="91" spans="1:49" s="547" customFormat="1" ht="14.25" thickBot="1">
      <c r="A91" s="900" t="s">
        <v>325</v>
      </c>
      <c r="B91" s="536" t="s">
        <v>166</v>
      </c>
      <c r="C91" s="578">
        <v>600</v>
      </c>
      <c r="D91" s="579">
        <f>T91*I91</f>
        <v>0</v>
      </c>
      <c r="E91" s="570">
        <f>IF(성적입력!$K$4="나형",U91*J91,U91*J91*1.1)</f>
        <v>145.20000000000002</v>
      </c>
      <c r="F91" s="570">
        <f t="shared" si="60"/>
        <v>127.05</v>
      </c>
      <c r="G91" s="571">
        <f>M91*L91*1.02</f>
        <v>95.625</v>
      </c>
      <c r="H91" s="540"/>
      <c r="I91" s="541">
        <f t="shared" si="107"/>
        <v>0</v>
      </c>
      <c r="J91" s="542">
        <f t="shared" si="90"/>
        <v>240</v>
      </c>
      <c r="K91" s="542">
        <f t="shared" si="91"/>
        <v>210</v>
      </c>
      <c r="L91" s="543">
        <f t="shared" si="92"/>
        <v>150</v>
      </c>
      <c r="M91" s="544">
        <f>((LARGE(N91:R91,1)+LARGE(N91:R91,2)))/2</f>
        <v>0.625</v>
      </c>
      <c r="N91" s="541">
        <f>성적입력!G$4/$AA91</f>
        <v>0.63</v>
      </c>
      <c r="O91" s="541">
        <f>성적입력!H$4/$AA91</f>
        <v>0.61</v>
      </c>
      <c r="P91" s="541">
        <f>성적입력!I$4/$AA91</f>
        <v>0.62</v>
      </c>
      <c r="Q91" s="541">
        <f>성적입력!J$4/$AA91</f>
        <v>0.36</v>
      </c>
      <c r="R91" s="572"/>
      <c r="S91" s="540"/>
      <c r="T91" s="545">
        <f>성적입력!D$4/계산도구!X91</f>
        <v>0.6</v>
      </c>
      <c r="U91" s="538">
        <f>성적입력!E$4/계산도구!Y91</f>
        <v>0.55000000000000004</v>
      </c>
      <c r="V91" s="539">
        <f>성적입력!F$4/계산도구!Z91</f>
        <v>0.60499999999999998</v>
      </c>
      <c r="W91" s="546"/>
      <c r="X91" s="537">
        <v>200</v>
      </c>
      <c r="Y91" s="547">
        <v>200</v>
      </c>
      <c r="Z91" s="547">
        <v>200</v>
      </c>
      <c r="AA91" s="547">
        <v>100</v>
      </c>
      <c r="AB91" s="548"/>
      <c r="AC91" s="540"/>
      <c r="AD91" s="579"/>
      <c r="AE91" s="579">
        <v>0.4</v>
      </c>
      <c r="AF91" s="579">
        <v>0.35</v>
      </c>
      <c r="AG91" s="571">
        <v>0.25</v>
      </c>
      <c r="AH91" s="580" t="s">
        <v>167</v>
      </c>
      <c r="AI91" s="651" t="s">
        <v>168</v>
      </c>
      <c r="AJ91" s="687"/>
      <c r="AK91" s="722"/>
      <c r="AO91" s="547" t="s">
        <v>169</v>
      </c>
      <c r="AV91" s="723"/>
      <c r="AW91" s="537"/>
    </row>
    <row r="92" spans="1:49" s="860" customFormat="1" ht="14.25" thickBot="1">
      <c r="A92" s="863" t="s">
        <v>326</v>
      </c>
      <c r="B92" s="848" t="s">
        <v>266</v>
      </c>
      <c r="C92" s="849">
        <v>800</v>
      </c>
      <c r="D92" s="850">
        <f t="shared" ref="D92:D93" si="138">T92*I92</f>
        <v>132.79999999999998</v>
      </c>
      <c r="E92" s="850">
        <f>U92*J92</f>
        <v>104</v>
      </c>
      <c r="F92" s="850">
        <f t="shared" ref="F92:F93" si="139">V92*K92</f>
        <v>196.79999999999998</v>
      </c>
      <c r="G92" s="851">
        <f t="shared" ref="G92" si="140">M92*L92</f>
        <v>202.39999999999998</v>
      </c>
      <c r="H92" s="848"/>
      <c r="I92" s="852">
        <f t="shared" ref="I92:I95" si="141">AD92*$C92</f>
        <v>160</v>
      </c>
      <c r="J92" s="853">
        <f t="shared" ref="J92:J95" si="142">AE92*$C92</f>
        <v>160</v>
      </c>
      <c r="K92" s="853">
        <f t="shared" ref="K92:K95" si="143">AF92*$C92</f>
        <v>240</v>
      </c>
      <c r="L92" s="854">
        <f t="shared" ref="L92:L95" si="144">AG92*$C92</f>
        <v>240</v>
      </c>
      <c r="M92" s="855">
        <f>(LARGE(N92:R92,1)+LARGE(N92:R92,2)+LARGE(N92:R92,3))/3</f>
        <v>0.84333333333333327</v>
      </c>
      <c r="N92" s="852">
        <f>성적입력!G$5/계산도구!$AA92</f>
        <v>0.87</v>
      </c>
      <c r="O92" s="853">
        <f>성적입력!H$5/계산도구!$AA92</f>
        <v>0.83</v>
      </c>
      <c r="P92" s="856">
        <f>성적입력!I$5/계산도구!$AA92</f>
        <v>0.83</v>
      </c>
      <c r="Q92" s="856">
        <f>성적입력!J$5/계산도구!$AA92</f>
        <v>0.03</v>
      </c>
      <c r="R92" s="857"/>
      <c r="S92" s="848"/>
      <c r="T92" s="858">
        <f>성적입력!D$5/계산도구!X92</f>
        <v>0.83</v>
      </c>
      <c r="U92" s="850">
        <f>성적입력!E$5/계산도구!Y92</f>
        <v>0.65</v>
      </c>
      <c r="V92" s="851">
        <f>성적입력!F$5/계산도구!Z92</f>
        <v>0.82</v>
      </c>
      <c r="W92" s="859"/>
      <c r="X92" s="849">
        <v>100</v>
      </c>
      <c r="Y92" s="860">
        <v>100</v>
      </c>
      <c r="Z92" s="860">
        <v>100</v>
      </c>
      <c r="AA92" s="860">
        <v>100</v>
      </c>
      <c r="AB92" s="861"/>
      <c r="AC92" s="848"/>
      <c r="AD92" s="1136">
        <v>0.2</v>
      </c>
      <c r="AE92" s="1137">
        <v>0.2</v>
      </c>
      <c r="AF92" s="1137">
        <v>0.3</v>
      </c>
      <c r="AG92" s="1138">
        <v>0.3</v>
      </c>
      <c r="AH92" s="848" t="s">
        <v>267</v>
      </c>
      <c r="AI92" s="862"/>
      <c r="AJ92" s="863"/>
      <c r="AK92" s="864"/>
      <c r="AV92" s="865"/>
      <c r="AW92" s="849"/>
    </row>
    <row r="93" spans="1:49" s="248" customFormat="1" ht="14.25" thickBot="1">
      <c r="A93" s="874" t="s">
        <v>338</v>
      </c>
      <c r="B93" s="234" t="s">
        <v>46</v>
      </c>
      <c r="C93" s="235">
        <v>700</v>
      </c>
      <c r="D93" s="236">
        <f t="shared" si="138"/>
        <v>120</v>
      </c>
      <c r="E93" s="236">
        <f t="shared" ref="E93" si="145">U93*J93</f>
        <v>150.98039215686273</v>
      </c>
      <c r="F93" s="236">
        <f t="shared" si="139"/>
        <v>178.94366197183098</v>
      </c>
      <c r="G93" s="243">
        <f>M93</f>
        <v>125.48533663775299</v>
      </c>
      <c r="H93" s="237"/>
      <c r="I93" s="238">
        <f t="shared" si="141"/>
        <v>140</v>
      </c>
      <c r="J93" s="239">
        <f t="shared" si="142"/>
        <v>210</v>
      </c>
      <c r="K93" s="239">
        <f t="shared" si="143"/>
        <v>210</v>
      </c>
      <c r="L93" s="240">
        <f t="shared" si="144"/>
        <v>140</v>
      </c>
      <c r="M93" s="595">
        <f>(LARGE(N93:R93,1)+LARGE(N93:R93,2))</f>
        <v>125.48533663775299</v>
      </c>
      <c r="N93" s="774">
        <f>IF(성적입력!G$3=0,0,IF(OR(성적입력!G87="물2",성적입력!G87="화2",성적입력!G87="생2",성적입력!G87="생2"),HLOOKUP(성적입력!G$3,'서울대-한양대보정별첨'!$J$2:$Q$103,102-성적입력!G$4,FALSE)/$AA93*1.03,HLOOKUP(성적입력!G$3,'서울대-한양대보정별첨'!$J$2:$Q$103,102-성적입력!G$4,FALSE)/$AA93))*70</f>
        <v>63.629354261324522</v>
      </c>
      <c r="O93" s="774">
        <f>IF(성적입력!H$3=0,0,IF(OR(성적입력!H87="물2",성적입력!H87="화2",성적입력!H87="생2",성적입력!H87="생2"),HLOOKUP(성적입력!H$3,'서울대-한양대보정별첨'!$J$2:$Q$103,102-성적입력!H$4,FALSE)/$AA93*1.03,HLOOKUP(성적입력!H$3,'서울대-한양대보정별첨'!$J$2:$Q$103,102-성적입력!H$4,FALSE)/$AA93))*70</f>
        <v>61.855982376428479</v>
      </c>
      <c r="P93" s="774">
        <f>IF(성적입력!I$3=0,0,IF(OR(성적입력!I87="물2",성적입력!I87="화2",성적입력!I87="생2",성적입력!I87="생2"),HLOOKUP(성적입력!I$3,'서울대-한양대보정별첨'!$J$2:$Q$103,102-성적입력!I$4,FALSE)/$AA93*1.03,HLOOKUP(성적입력!I$3,'서울대-한양대보정별첨'!$J$2:$Q$103,102-성적입력!I$4,FALSE)/$AA93))*70</f>
        <v>61.855982376428479</v>
      </c>
      <c r="Q93" s="774">
        <f>IF(성적입력!J$3=0,0,IF(OR(성적입력!J87="물2",성적입력!J87="화2",성적입력!J87="생2",성적입력!J87="생2"),HLOOKUP(성적입력!J$3,'서울대-한양대보정별첨'!$J$2:$Q$103,102-성적입력!J$4,FALSE)/$AA93*1.03,HLOOKUP(성적입력!J$3,'서울대-한양대보정별첨'!$J$2:$Q$103,102-성적입력!J$4,FALSE)/$AA93))*70</f>
        <v>26.388544678507504</v>
      </c>
      <c r="R93" s="240"/>
      <c r="S93" s="237"/>
      <c r="T93" s="242">
        <f>성적입력!D$4/계산도구!X93</f>
        <v>0.8571428571428571</v>
      </c>
      <c r="U93" s="236">
        <f>성적입력!E$4/계산도구!Y93</f>
        <v>0.71895424836601307</v>
      </c>
      <c r="V93" s="243">
        <f>성적입력!F$4/계산도구!Z93</f>
        <v>0.852112676056338</v>
      </c>
      <c r="W93" s="244"/>
      <c r="X93" s="235">
        <f>AK$2</f>
        <v>140</v>
      </c>
      <c r="Y93" s="235">
        <f>IF(성적입력!$K$4="가형",AL$2,AM$2)</f>
        <v>153</v>
      </c>
      <c r="Z93" s="235">
        <f t="shared" ref="Z93:Z94" si="146">AN$2</f>
        <v>142</v>
      </c>
      <c r="AA93" s="245">
        <v>72.63</v>
      </c>
      <c r="AB93" s="246"/>
      <c r="AC93" s="237"/>
      <c r="AD93" s="1036">
        <v>0.2</v>
      </c>
      <c r="AE93" s="1045">
        <v>0.3</v>
      </c>
      <c r="AF93" s="1058">
        <v>0.3</v>
      </c>
      <c r="AG93" s="1059">
        <v>0.2</v>
      </c>
      <c r="AH93" s="237"/>
      <c r="AJ93" s="233"/>
      <c r="AK93" s="694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695"/>
    </row>
    <row r="94" spans="1:49" s="867" customFormat="1" ht="14.25" thickBot="1">
      <c r="A94" s="873" t="s">
        <v>349</v>
      </c>
      <c r="B94" s="204" t="s">
        <v>46</v>
      </c>
      <c r="C94" s="847">
        <v>700</v>
      </c>
      <c r="D94" s="206">
        <f>ROUNDUP(T94*I94,3)</f>
        <v>120</v>
      </c>
      <c r="E94" s="206">
        <f>ROUNDUP(U94*J94,3)</f>
        <v>150.98099999999999</v>
      </c>
      <c r="F94" s="206">
        <f>ROUNDUP(V94*K94,3)</f>
        <v>178.94400000000002</v>
      </c>
      <c r="G94" s="207">
        <f>ROUNDUP(M94*L94,3)</f>
        <v>121.51600000000001</v>
      </c>
      <c r="H94" s="208"/>
      <c r="I94" s="209">
        <f t="shared" si="141"/>
        <v>140</v>
      </c>
      <c r="J94" s="210">
        <f t="shared" si="142"/>
        <v>210</v>
      </c>
      <c r="K94" s="210">
        <f t="shared" si="143"/>
        <v>210</v>
      </c>
      <c r="L94" s="211">
        <f t="shared" si="144"/>
        <v>140</v>
      </c>
      <c r="M94" s="594">
        <f>(LARGE(N94:R94,1)+LARGE(N94:R94,2))/2</f>
        <v>0.86797015337847172</v>
      </c>
      <c r="N94" s="209">
        <f>VLOOKUP(성적입력!G$5,보정점수표!$A$3:$M$103,7,FALSE)/$AA94</f>
        <v>0.88019897747685505</v>
      </c>
      <c r="O94" s="210">
        <f>VLOOKUP(성적입력!H$5,보정점수표!$A$3:$M$103,7,FALSE)/$AA94</f>
        <v>0.85574132928008839</v>
      </c>
      <c r="P94" s="915">
        <f>VLOOKUP(성적입력!I$5,보정점수표!$A$3:$M$103,7,FALSE)/$AA94</f>
        <v>0.85574132928008839</v>
      </c>
      <c r="Q94" s="915">
        <f>VLOOKUP(성적입력!J$5,보정점수표!$A$3:$M$103,7,FALSE)/$AA94</f>
        <v>0.48790935470498825</v>
      </c>
      <c r="R94" s="213"/>
      <c r="S94" s="208"/>
      <c r="T94" s="214">
        <f>성적입력!D$4/계산도구!X94</f>
        <v>0.8571428571428571</v>
      </c>
      <c r="U94" s="206">
        <f>성적입력!E$4/계산도구!Y94</f>
        <v>0.71895424836601307</v>
      </c>
      <c r="V94" s="207">
        <f>성적입력!F$4/계산도구!Z94</f>
        <v>0.852112676056338</v>
      </c>
      <c r="W94" s="215"/>
      <c r="X94" s="847">
        <f>AK$2</f>
        <v>140</v>
      </c>
      <c r="Y94" s="928">
        <f>IF(성적입력!$K$4="가형",AL$2,AM$2)</f>
        <v>153</v>
      </c>
      <c r="Z94" s="928">
        <f t="shared" si="146"/>
        <v>142</v>
      </c>
      <c r="AA94" s="928">
        <f>보정점수표!G$3</f>
        <v>72.37</v>
      </c>
      <c r="AB94" s="866"/>
      <c r="AC94" s="208"/>
      <c r="AD94" s="1069">
        <v>0.2</v>
      </c>
      <c r="AE94" s="1070">
        <v>0.3</v>
      </c>
      <c r="AF94" s="1070">
        <v>0.3</v>
      </c>
      <c r="AG94" s="1071">
        <v>0.2</v>
      </c>
      <c r="AH94" s="208"/>
      <c r="AJ94" s="203"/>
      <c r="AK94" s="918"/>
      <c r="AL94" s="919"/>
      <c r="AM94" s="919"/>
      <c r="AN94" s="919"/>
      <c r="AO94" s="919"/>
      <c r="AP94" s="919"/>
      <c r="AQ94" s="919"/>
      <c r="AR94" s="919"/>
      <c r="AS94" s="919"/>
      <c r="AT94" s="919"/>
      <c r="AU94" s="919"/>
      <c r="AV94" s="920"/>
    </row>
    <row r="95" spans="1:49" s="860" customFormat="1" ht="14.25" thickBot="1">
      <c r="A95" s="863" t="s">
        <v>350</v>
      </c>
      <c r="B95" s="848" t="s">
        <v>46</v>
      </c>
      <c r="C95" s="849">
        <v>500</v>
      </c>
      <c r="D95" s="850">
        <f t="shared" ref="D95" si="147">T95*I95</f>
        <v>0</v>
      </c>
      <c r="E95" s="850">
        <f>IF(성적입력!$K$4="나형",U95*J95,U95*J95+U95*15)</f>
        <v>139.75</v>
      </c>
      <c r="F95" s="850">
        <f t="shared" ref="F95" si="148">V95*K95</f>
        <v>164</v>
      </c>
      <c r="G95" s="851">
        <f>M95*L95</f>
        <v>85</v>
      </c>
      <c r="H95" s="848"/>
      <c r="I95" s="852">
        <f t="shared" si="141"/>
        <v>0</v>
      </c>
      <c r="J95" s="853">
        <f t="shared" si="142"/>
        <v>200</v>
      </c>
      <c r="K95" s="853">
        <f t="shared" si="143"/>
        <v>200</v>
      </c>
      <c r="L95" s="854">
        <f t="shared" si="144"/>
        <v>100</v>
      </c>
      <c r="M95" s="161">
        <f>(LARGE(N95:R95,1)+LARGE(N95:R95,2))/2</f>
        <v>0.85</v>
      </c>
      <c r="N95" s="852">
        <f>성적입력!G$5/계산도구!$AA95</f>
        <v>0.87</v>
      </c>
      <c r="O95" s="853">
        <f>성적입력!H$5/계산도구!$AA95</f>
        <v>0.83</v>
      </c>
      <c r="P95" s="856">
        <f>성적입력!I$5/계산도구!$AA95</f>
        <v>0.83</v>
      </c>
      <c r="Q95" s="856">
        <f>성적입력!J$5/계산도구!$AA95</f>
        <v>0.03</v>
      </c>
      <c r="R95" s="857"/>
      <c r="S95" s="848"/>
      <c r="T95" s="858">
        <f>성적입력!D$5/계산도구!X95</f>
        <v>0.83</v>
      </c>
      <c r="U95" s="850">
        <f>성적입력!E$5/계산도구!Y95</f>
        <v>0.65</v>
      </c>
      <c r="V95" s="851">
        <f>성적입력!F$5/계산도구!Z95</f>
        <v>0.82</v>
      </c>
      <c r="W95" s="859"/>
      <c r="X95" s="849">
        <v>100</v>
      </c>
      <c r="Y95" s="860">
        <v>100</v>
      </c>
      <c r="Z95" s="860">
        <v>100</v>
      </c>
      <c r="AA95" s="860">
        <v>100</v>
      </c>
      <c r="AB95" s="861"/>
      <c r="AC95" s="848"/>
      <c r="AD95" s="1136"/>
      <c r="AE95" s="1137">
        <v>0.4</v>
      </c>
      <c r="AF95" s="1137">
        <v>0.4</v>
      </c>
      <c r="AG95" s="1138">
        <v>0.2</v>
      </c>
      <c r="AH95" s="848"/>
      <c r="AI95" s="862"/>
      <c r="AJ95" s="863"/>
      <c r="AK95" s="864"/>
      <c r="AV95" s="865"/>
      <c r="AW95" s="849"/>
    </row>
    <row r="96" spans="1:49" s="941" customFormat="1">
      <c r="A96" s="891" t="s">
        <v>342</v>
      </c>
      <c r="B96" s="933" t="s">
        <v>46</v>
      </c>
      <c r="C96" s="934">
        <v>700</v>
      </c>
      <c r="D96" s="935">
        <f t="shared" ref="D96" si="149">T96*I96</f>
        <v>0</v>
      </c>
      <c r="E96" s="935">
        <f>IF(성적입력!$K$4="나형",U96*J96,U96*J96+U96*5)</f>
        <v>185.25</v>
      </c>
      <c r="F96" s="935">
        <f t="shared" ref="F96" si="150">V96*K96</f>
        <v>229.6</v>
      </c>
      <c r="G96" s="936">
        <f>M96*L96</f>
        <v>121.8</v>
      </c>
      <c r="H96" s="933"/>
      <c r="I96" s="930">
        <f t="shared" ref="I96" si="151">AD96*$C96</f>
        <v>0</v>
      </c>
      <c r="J96" s="931">
        <f t="shared" ref="J96" si="152">AE96*$C96</f>
        <v>280</v>
      </c>
      <c r="K96" s="931">
        <f t="shared" ref="K96" si="153">AF96*$C96</f>
        <v>280</v>
      </c>
      <c r="L96" s="937">
        <f t="shared" ref="L96" si="154">AG96*$C96</f>
        <v>140</v>
      </c>
      <c r="M96" s="328">
        <f>(LARGE(N96:R96,1))</f>
        <v>0.87</v>
      </c>
      <c r="N96" s="930">
        <f>성적입력!G$5/계산도구!$AA96</f>
        <v>0.87</v>
      </c>
      <c r="O96" s="931">
        <f>성적입력!H$5/계산도구!$AA96</f>
        <v>0.83</v>
      </c>
      <c r="P96" s="932">
        <f>성적입력!I$5/계산도구!$AA96</f>
        <v>0.83</v>
      </c>
      <c r="Q96" s="932">
        <f>성적입력!J$5/계산도구!$AA96</f>
        <v>0.03</v>
      </c>
      <c r="R96" s="938"/>
      <c r="S96" s="933"/>
      <c r="T96" s="939">
        <f>성적입력!D$5/계산도구!X96</f>
        <v>0.83</v>
      </c>
      <c r="U96" s="935">
        <f>성적입력!E$5/계산도구!Y96</f>
        <v>0.65</v>
      </c>
      <c r="V96" s="936">
        <f>성적입력!F$5/계산도구!Z96</f>
        <v>0.82</v>
      </c>
      <c r="W96" s="940"/>
      <c r="X96" s="934">
        <v>100</v>
      </c>
      <c r="Y96" s="941">
        <v>100</v>
      </c>
      <c r="Z96" s="941">
        <v>100</v>
      </c>
      <c r="AA96" s="941">
        <v>100</v>
      </c>
      <c r="AB96" s="942"/>
      <c r="AC96" s="933"/>
      <c r="AD96" s="1139"/>
      <c r="AE96" s="1140">
        <v>0.4</v>
      </c>
      <c r="AF96" s="1140">
        <v>0.4</v>
      </c>
      <c r="AG96" s="1141">
        <v>0.2</v>
      </c>
      <c r="AH96" s="933" t="s">
        <v>352</v>
      </c>
      <c r="AI96" s="943"/>
      <c r="AJ96" s="891"/>
      <c r="AK96" s="944"/>
      <c r="AV96" s="945"/>
      <c r="AW96" s="934"/>
    </row>
    <row r="97" spans="1:56" s="957" customFormat="1" ht="14.25" thickBot="1">
      <c r="A97" s="893" t="s">
        <v>343</v>
      </c>
      <c r="B97" s="946" t="s">
        <v>351</v>
      </c>
      <c r="C97" s="947">
        <v>700</v>
      </c>
      <c r="D97" s="948">
        <f t="shared" ref="D97:D98" si="155">T97*I97</f>
        <v>0</v>
      </c>
      <c r="E97" s="948">
        <f>U97*J97</f>
        <v>182</v>
      </c>
      <c r="F97" s="948">
        <f t="shared" ref="F97:F99" si="156">V97*K97</f>
        <v>229.6</v>
      </c>
      <c r="G97" s="949">
        <f>M97*L97</f>
        <v>121.8</v>
      </c>
      <c r="H97" s="946"/>
      <c r="I97" s="950">
        <f t="shared" ref="I97:I99" si="157">AD97*$C97</f>
        <v>0</v>
      </c>
      <c r="J97" s="951">
        <f t="shared" ref="J97:J99" si="158">AE97*$C97</f>
        <v>280</v>
      </c>
      <c r="K97" s="951">
        <f t="shared" ref="K97:K99" si="159">AF97*$C97</f>
        <v>280</v>
      </c>
      <c r="L97" s="952">
        <f t="shared" ref="L97:L99" si="160">AG97*$C97</f>
        <v>140</v>
      </c>
      <c r="M97" s="784">
        <f>(LARGE(N97:R97,1))</f>
        <v>0.87</v>
      </c>
      <c r="N97" s="950">
        <f>성적입력!G$5/계산도구!$AA97</f>
        <v>0.87</v>
      </c>
      <c r="O97" s="951">
        <f>성적입력!H$5/계산도구!$AA97</f>
        <v>0.83</v>
      </c>
      <c r="P97" s="953">
        <f>성적입력!I$5/계산도구!$AA97</f>
        <v>0.83</v>
      </c>
      <c r="Q97" s="953">
        <f>성적입력!J$5/계산도구!$AA97</f>
        <v>0.03</v>
      </c>
      <c r="R97" s="954"/>
      <c r="S97" s="946"/>
      <c r="T97" s="955">
        <f>성적입력!D$5/계산도구!X97</f>
        <v>0.83</v>
      </c>
      <c r="U97" s="948">
        <f>성적입력!E$5/계산도구!Y97</f>
        <v>0.65</v>
      </c>
      <c r="V97" s="949">
        <f>성적입력!F$5/계산도구!Z97</f>
        <v>0.82</v>
      </c>
      <c r="W97" s="956"/>
      <c r="X97" s="947">
        <v>100</v>
      </c>
      <c r="Y97" s="957">
        <v>100</v>
      </c>
      <c r="Z97" s="957">
        <v>100</v>
      </c>
      <c r="AA97" s="957">
        <v>100</v>
      </c>
      <c r="AB97" s="958"/>
      <c r="AC97" s="946"/>
      <c r="AD97" s="1142"/>
      <c r="AE97" s="1143">
        <v>0.4</v>
      </c>
      <c r="AF97" s="1143">
        <v>0.4</v>
      </c>
      <c r="AG97" s="1144">
        <v>0.2</v>
      </c>
      <c r="AH97" s="946" t="s">
        <v>353</v>
      </c>
      <c r="AI97" s="959"/>
      <c r="AJ97" s="893"/>
      <c r="AK97" s="960"/>
      <c r="AV97" s="961"/>
      <c r="AW97" s="947"/>
    </row>
    <row r="98" spans="1:56" s="860" customFormat="1" ht="14.25" thickBot="1">
      <c r="A98" s="863" t="s">
        <v>354</v>
      </c>
      <c r="B98" s="848" t="s">
        <v>46</v>
      </c>
      <c r="C98" s="849">
        <v>500</v>
      </c>
      <c r="D98" s="850">
        <f t="shared" si="155"/>
        <v>0</v>
      </c>
      <c r="E98" s="850">
        <f>IF(성적입력!$K$4="나형",U98*J98,U98*J98*1.1)</f>
        <v>178.75000000000003</v>
      </c>
      <c r="F98" s="850">
        <f t="shared" si="156"/>
        <v>122.99999999999999</v>
      </c>
      <c r="G98" s="851">
        <f>M98*L98*1.1</f>
        <v>93.500000000000014</v>
      </c>
      <c r="H98" s="848"/>
      <c r="I98" s="852">
        <f t="shared" si="157"/>
        <v>0</v>
      </c>
      <c r="J98" s="853">
        <f t="shared" si="158"/>
        <v>250</v>
      </c>
      <c r="K98" s="853">
        <f t="shared" si="159"/>
        <v>150</v>
      </c>
      <c r="L98" s="854">
        <f t="shared" si="160"/>
        <v>100</v>
      </c>
      <c r="M98" s="161">
        <f>(LARGE(N98:R98,1)+LARGE(N98:R98,2))/2</f>
        <v>0.85</v>
      </c>
      <c r="N98" s="852">
        <f>성적입력!G$5/계산도구!$AA98</f>
        <v>0.87</v>
      </c>
      <c r="O98" s="853">
        <f>성적입력!H$5/계산도구!$AA98</f>
        <v>0.83</v>
      </c>
      <c r="P98" s="856">
        <f>성적입력!I$5/계산도구!$AA98</f>
        <v>0.83</v>
      </c>
      <c r="Q98" s="856">
        <f>성적입력!J$5/계산도구!$AA98</f>
        <v>0.03</v>
      </c>
      <c r="R98" s="857"/>
      <c r="S98" s="848"/>
      <c r="T98" s="858">
        <f>성적입력!D$5/계산도구!X98</f>
        <v>0.83</v>
      </c>
      <c r="U98" s="850">
        <f>성적입력!E$5/계산도구!Y98</f>
        <v>0.65</v>
      </c>
      <c r="V98" s="851">
        <f>성적입력!F$5/계산도구!Z98</f>
        <v>0.82</v>
      </c>
      <c r="W98" s="859"/>
      <c r="X98" s="849">
        <v>100</v>
      </c>
      <c r="Y98" s="860">
        <v>100</v>
      </c>
      <c r="Z98" s="860">
        <v>100</v>
      </c>
      <c r="AA98" s="860">
        <v>100</v>
      </c>
      <c r="AB98" s="861"/>
      <c r="AC98" s="848"/>
      <c r="AD98" s="1136"/>
      <c r="AE98" s="1137">
        <v>0.5</v>
      </c>
      <c r="AF98" s="1137">
        <v>0.3</v>
      </c>
      <c r="AG98" s="1138">
        <v>0.2</v>
      </c>
      <c r="AH98" s="848"/>
      <c r="AI98" s="862"/>
      <c r="AJ98" s="863"/>
      <c r="AK98" s="864"/>
      <c r="AV98" s="865"/>
      <c r="AW98" s="849"/>
    </row>
    <row r="99" spans="1:56" s="547" customFormat="1" ht="14.25" thickBot="1">
      <c r="A99" s="900" t="s">
        <v>356</v>
      </c>
      <c r="B99" s="536" t="s">
        <v>108</v>
      </c>
      <c r="C99" s="578">
        <v>300</v>
      </c>
      <c r="D99" s="579">
        <f>T99*I99</f>
        <v>28.799999999999997</v>
      </c>
      <c r="E99" s="570">
        <f>IF(성적입력!$K$4="나형",U99*J99,U99*J99*1.1)</f>
        <v>58.080000000000013</v>
      </c>
      <c r="F99" s="570">
        <f t="shared" si="156"/>
        <v>58.08</v>
      </c>
      <c r="G99" s="571">
        <f>M99*L99*1.02</f>
        <v>38.25</v>
      </c>
      <c r="H99" s="540"/>
      <c r="I99" s="541">
        <f t="shared" si="157"/>
        <v>48</v>
      </c>
      <c r="J99" s="542">
        <f t="shared" si="158"/>
        <v>96</v>
      </c>
      <c r="K99" s="542">
        <f t="shared" si="159"/>
        <v>96</v>
      </c>
      <c r="L99" s="543">
        <f t="shared" si="160"/>
        <v>60</v>
      </c>
      <c r="M99" s="544">
        <f>((LARGE(N99:R99,1)+LARGE(N99:R99,2)))/2</f>
        <v>0.625</v>
      </c>
      <c r="N99" s="541">
        <f>성적입력!G$4/$AA99</f>
        <v>0.63</v>
      </c>
      <c r="O99" s="541">
        <f>성적입력!H$4/$AA99</f>
        <v>0.61</v>
      </c>
      <c r="P99" s="541">
        <f>성적입력!I$4/$AA99</f>
        <v>0.62</v>
      </c>
      <c r="Q99" s="541">
        <f>성적입력!J$4/$AA99</f>
        <v>0.36</v>
      </c>
      <c r="R99" s="572"/>
      <c r="S99" s="540"/>
      <c r="T99" s="545">
        <f>성적입력!D$4/계산도구!X99</f>
        <v>0.6</v>
      </c>
      <c r="U99" s="538">
        <f>성적입력!E$4/계산도구!Y99</f>
        <v>0.55000000000000004</v>
      </c>
      <c r="V99" s="539">
        <f>성적입력!F$4/계산도구!Z99</f>
        <v>0.60499999999999998</v>
      </c>
      <c r="W99" s="546"/>
      <c r="X99" s="924">
        <v>200</v>
      </c>
      <c r="Y99" s="547">
        <v>200</v>
      </c>
      <c r="Z99" s="547">
        <v>200</v>
      </c>
      <c r="AA99" s="547">
        <v>100</v>
      </c>
      <c r="AB99" s="923"/>
      <c r="AC99" s="540"/>
      <c r="AD99" s="579">
        <v>0.16</v>
      </c>
      <c r="AE99" s="579">
        <v>0.32</v>
      </c>
      <c r="AF99" s="579">
        <v>0.32</v>
      </c>
      <c r="AG99" s="571">
        <v>0.2</v>
      </c>
      <c r="AH99" s="580"/>
      <c r="AI99" s="651"/>
      <c r="AJ99" s="687"/>
      <c r="AK99" s="722"/>
      <c r="AO99" s="547" t="s">
        <v>169</v>
      </c>
      <c r="AV99" s="723"/>
      <c r="AW99" s="924"/>
    </row>
    <row r="100" spans="1:56" s="860" customFormat="1" ht="14.25" thickBot="1">
      <c r="A100" s="863" t="s">
        <v>345</v>
      </c>
      <c r="B100" s="848" t="s">
        <v>46</v>
      </c>
      <c r="C100" s="849">
        <v>600</v>
      </c>
      <c r="D100" s="850">
        <f t="shared" ref="D100" si="161">T100*I100</f>
        <v>99.6</v>
      </c>
      <c r="E100" s="850">
        <f>IF(성적입력!$K$4="나형",U100*J100,U100*J100*1.15)</f>
        <v>134.54999999999998</v>
      </c>
      <c r="F100" s="850">
        <f t="shared" ref="F100:F102" si="162">V100*K100</f>
        <v>147.6</v>
      </c>
      <c r="G100" s="851">
        <f>M100*L100*1.1</f>
        <v>112.2</v>
      </c>
      <c r="H100" s="848"/>
      <c r="I100" s="852">
        <f t="shared" ref="I100" si="163">AD100*$C100</f>
        <v>120</v>
      </c>
      <c r="J100" s="853">
        <f t="shared" ref="J100:J102" si="164">AE100*$C100</f>
        <v>180</v>
      </c>
      <c r="K100" s="853">
        <f t="shared" ref="K100:K102" si="165">AF100*$C100</f>
        <v>180</v>
      </c>
      <c r="L100" s="854">
        <f t="shared" ref="L100:L102" si="166">AG100*$C100</f>
        <v>120</v>
      </c>
      <c r="M100" s="161">
        <f>(LARGE(N100:R100,1)+LARGE(N100:R100,2))/2</f>
        <v>0.85</v>
      </c>
      <c r="N100" s="852">
        <f>성적입력!G$5/계산도구!$AA100</f>
        <v>0.87</v>
      </c>
      <c r="O100" s="853">
        <f>성적입력!H$5/계산도구!$AA100</f>
        <v>0.83</v>
      </c>
      <c r="P100" s="856">
        <f>성적입력!I$5/계산도구!$AA100</f>
        <v>0.83</v>
      </c>
      <c r="Q100" s="856">
        <f>성적입력!J$5/계산도구!$AA100</f>
        <v>0.03</v>
      </c>
      <c r="R100" s="857"/>
      <c r="S100" s="848"/>
      <c r="T100" s="858">
        <f>성적입력!D$5/계산도구!X100</f>
        <v>0.83</v>
      </c>
      <c r="U100" s="850">
        <f>성적입력!E$5/계산도구!Y100</f>
        <v>0.65</v>
      </c>
      <c r="V100" s="851">
        <f>성적입력!F$5/계산도구!Z100</f>
        <v>0.82</v>
      </c>
      <c r="W100" s="859"/>
      <c r="X100" s="849">
        <v>100</v>
      </c>
      <c r="Y100" s="860">
        <v>100</v>
      </c>
      <c r="Z100" s="860">
        <v>100</v>
      </c>
      <c r="AA100" s="860">
        <v>100</v>
      </c>
      <c r="AB100" s="861"/>
      <c r="AC100" s="848"/>
      <c r="AD100" s="1136">
        <v>0.2</v>
      </c>
      <c r="AE100" s="1137">
        <v>0.3</v>
      </c>
      <c r="AF100" s="1137">
        <v>0.3</v>
      </c>
      <c r="AG100" s="1138">
        <v>0.2</v>
      </c>
      <c r="AH100" s="848"/>
      <c r="AI100" s="862"/>
      <c r="AJ100" s="863"/>
      <c r="AK100" s="864"/>
      <c r="AV100" s="865"/>
      <c r="AW100" s="849"/>
    </row>
    <row r="101" spans="1:56" s="926" customFormat="1" ht="14.25" thickBot="1">
      <c r="A101" s="873" t="s">
        <v>366</v>
      </c>
      <c r="B101" s="204" t="s">
        <v>367</v>
      </c>
      <c r="C101" s="971">
        <v>800</v>
      </c>
      <c r="D101" s="972">
        <f>T101*I101</f>
        <v>154.28571428571428</v>
      </c>
      <c r="E101" s="217">
        <f t="shared" ref="E101" si="167">U101*J101</f>
        <v>158.16993464052288</v>
      </c>
      <c r="F101" s="217">
        <f t="shared" si="162"/>
        <v>187.4647887323944</v>
      </c>
      <c r="G101" s="218">
        <f>M101*L101</f>
        <v>155.50428295109148</v>
      </c>
      <c r="H101" s="208"/>
      <c r="I101" s="209">
        <f>AD101*$C101</f>
        <v>180</v>
      </c>
      <c r="J101" s="210">
        <f t="shared" si="164"/>
        <v>220.00000000000003</v>
      </c>
      <c r="K101" s="210">
        <f t="shared" si="165"/>
        <v>220.00000000000003</v>
      </c>
      <c r="L101" s="211">
        <f t="shared" si="166"/>
        <v>180</v>
      </c>
      <c r="M101" s="212">
        <f>(LARGE(N101:R101,1)+LARGE(N101:R101,2)+LARGE(N101:R101,3))/3</f>
        <v>0.86391268306161928</v>
      </c>
      <c r="N101" s="209">
        <f>VLOOKUP(성적입력!G$5,보정점수표!$A$3:$M$103,13,FALSE)/$AA101</f>
        <v>0.88021552915169943</v>
      </c>
      <c r="O101" s="209">
        <f>VLOOKUP(성적입력!H$5,보정점수표!$A$3:$M$103,13,FALSE)/$AA101</f>
        <v>0.85576126001657915</v>
      </c>
      <c r="P101" s="209">
        <f>VLOOKUP(성적입력!I$5,보정점수표!$A$3:$M$103,13,FALSE)/$AA101</f>
        <v>0.85576126001657915</v>
      </c>
      <c r="Q101" s="209">
        <f>VLOOKUP(성적입력!J$5,보정점수표!$A$3:$M$103,13,FALSE)/$AA101</f>
        <v>0.48784194528875385</v>
      </c>
      <c r="R101" s="213"/>
      <c r="S101" s="208"/>
      <c r="T101" s="214">
        <f>성적입력!D$4/계산도구!X101</f>
        <v>0.8571428571428571</v>
      </c>
      <c r="U101" s="214">
        <f>성적입력!E$4/계산도구!Y101</f>
        <v>0.71895424836601307</v>
      </c>
      <c r="V101" s="214">
        <f>성적입력!F$4/계산도구!Z101</f>
        <v>0.852112676056338</v>
      </c>
      <c r="W101" s="215"/>
      <c r="X101" s="454">
        <f t="shared" ref="X101:Y101" si="168">AK$2</f>
        <v>140</v>
      </c>
      <c r="Y101" s="926">
        <f t="shared" si="168"/>
        <v>153</v>
      </c>
      <c r="Z101" s="926">
        <f>AN$2</f>
        <v>142</v>
      </c>
      <c r="AA101" s="926">
        <f>보정점수표!M3</f>
        <v>72.38</v>
      </c>
      <c r="AB101" s="866"/>
      <c r="AC101" s="208"/>
      <c r="AD101" s="972">
        <v>0.22500000000000001</v>
      </c>
      <c r="AE101" s="217">
        <v>0.27500000000000002</v>
      </c>
      <c r="AF101" s="972">
        <f>220/800</f>
        <v>0.27500000000000002</v>
      </c>
      <c r="AG101" s="217">
        <f>180/800</f>
        <v>0.22500000000000001</v>
      </c>
      <c r="AH101" s="1440"/>
      <c r="AI101" s="1441"/>
      <c r="AJ101" s="208"/>
      <c r="AK101" s="454"/>
      <c r="BC101" s="927"/>
      <c r="BD101" s="454"/>
    </row>
    <row r="102" spans="1:56" s="420" customFormat="1">
      <c r="A102" s="904" t="s">
        <v>347</v>
      </c>
      <c r="B102" s="407" t="s">
        <v>108</v>
      </c>
      <c r="C102" s="973">
        <v>450</v>
      </c>
      <c r="D102" s="974">
        <f>T102*I102</f>
        <v>54</v>
      </c>
      <c r="E102" s="975">
        <f>IF(성적입력!$K$4="나형",U102*J102,U102*J102)</f>
        <v>74.25</v>
      </c>
      <c r="F102" s="975">
        <f t="shared" si="162"/>
        <v>81.674999999999997</v>
      </c>
      <c r="G102" s="976">
        <f>M102*L102</f>
        <v>55.8</v>
      </c>
      <c r="H102" s="411"/>
      <c r="I102" s="412">
        <f t="shared" ref="I102" si="169">AD102*$C102</f>
        <v>90</v>
      </c>
      <c r="J102" s="413">
        <f t="shared" si="164"/>
        <v>135</v>
      </c>
      <c r="K102" s="413">
        <f t="shared" si="165"/>
        <v>135</v>
      </c>
      <c r="L102" s="414">
        <f t="shared" si="166"/>
        <v>90</v>
      </c>
      <c r="M102" s="415">
        <f t="shared" ref="M102:M103" si="170">(LARGE(N102:R102,1)+LARGE(N102:R102,2)+LARGE(N102:R102,3))/3</f>
        <v>0.62</v>
      </c>
      <c r="N102" s="412">
        <f>성적입력!G$4/$AA102</f>
        <v>0.63</v>
      </c>
      <c r="O102" s="412">
        <f>성적입력!H$4/$AA102</f>
        <v>0.61</v>
      </c>
      <c r="P102" s="412">
        <f>성적입력!I$4/$AA102</f>
        <v>0.62</v>
      </c>
      <c r="Q102" s="412">
        <f>성적입력!J$4/$AA102</f>
        <v>0.36</v>
      </c>
      <c r="R102" s="417"/>
      <c r="S102" s="411"/>
      <c r="T102" s="418">
        <f>성적입력!D$4/계산도구!X102</f>
        <v>0.6</v>
      </c>
      <c r="U102" s="409">
        <f>성적입력!E$4/계산도구!Y102</f>
        <v>0.55000000000000004</v>
      </c>
      <c r="V102" s="410">
        <f>성적입력!F$4/계산도구!Z102</f>
        <v>0.60499999999999998</v>
      </c>
      <c r="W102" s="419"/>
      <c r="X102" s="408">
        <v>200</v>
      </c>
      <c r="Y102" s="420">
        <v>200</v>
      </c>
      <c r="Z102" s="420">
        <v>200</v>
      </c>
      <c r="AA102" s="420">
        <v>100</v>
      </c>
      <c r="AB102" s="421"/>
      <c r="AC102" s="411"/>
      <c r="AD102" s="974">
        <v>0.2</v>
      </c>
      <c r="AE102" s="974">
        <v>0.3</v>
      </c>
      <c r="AF102" s="974">
        <v>0.3</v>
      </c>
      <c r="AG102" s="976">
        <v>0.2</v>
      </c>
      <c r="AH102" s="977"/>
      <c r="AI102" s="978"/>
      <c r="AJ102" s="979"/>
      <c r="AK102" s="732"/>
      <c r="AO102" s="420" t="s">
        <v>169</v>
      </c>
      <c r="AV102" s="733"/>
      <c r="AW102" s="408"/>
    </row>
    <row r="103" spans="1:56" s="563" customFormat="1" ht="14.25" thickBot="1">
      <c r="A103" s="903" t="s">
        <v>348</v>
      </c>
      <c r="B103" s="980" t="s">
        <v>368</v>
      </c>
      <c r="C103" s="981">
        <v>450</v>
      </c>
      <c r="D103" s="982">
        <f>T103*I103</f>
        <v>54</v>
      </c>
      <c r="E103" s="983">
        <f>IF(성적입력!$K$4="나형",U103*J103,U103*J103*1.1)</f>
        <v>81.675000000000011</v>
      </c>
      <c r="F103" s="983">
        <f t="shared" ref="F103" si="171">V103*K103</f>
        <v>81.674999999999997</v>
      </c>
      <c r="G103" s="984">
        <f>M103*L103*1.1</f>
        <v>61.38</v>
      </c>
      <c r="H103" s="554"/>
      <c r="I103" s="555">
        <f t="shared" ref="I103" si="172">AD103*$C103</f>
        <v>90</v>
      </c>
      <c r="J103" s="556">
        <f t="shared" ref="J103:J104" si="173">AE103*$C103</f>
        <v>135</v>
      </c>
      <c r="K103" s="556">
        <f t="shared" ref="K103:K104" si="174">AF103*$C103</f>
        <v>135</v>
      </c>
      <c r="L103" s="557">
        <f t="shared" ref="L103:L104" si="175">AG103*$C103</f>
        <v>90</v>
      </c>
      <c r="M103" s="558">
        <f t="shared" si="170"/>
        <v>0.62</v>
      </c>
      <c r="N103" s="555">
        <f>성적입력!G$4/$AA103</f>
        <v>0.63</v>
      </c>
      <c r="O103" s="555">
        <f>성적입력!H$4/$AA103</f>
        <v>0.61</v>
      </c>
      <c r="P103" s="555">
        <f>성적입력!I$4/$AA103</f>
        <v>0.62</v>
      </c>
      <c r="Q103" s="555">
        <f>성적입력!J$4/$AA103</f>
        <v>0.36</v>
      </c>
      <c r="R103" s="560"/>
      <c r="S103" s="554"/>
      <c r="T103" s="561">
        <f>성적입력!D$4/계산도구!X103</f>
        <v>0.6</v>
      </c>
      <c r="U103" s="552">
        <f>성적입력!E$4/계산도구!Y103</f>
        <v>0.55000000000000004</v>
      </c>
      <c r="V103" s="553">
        <f>성적입력!F$4/계산도구!Z103</f>
        <v>0.60499999999999998</v>
      </c>
      <c r="W103" s="562"/>
      <c r="X103" s="551">
        <v>200</v>
      </c>
      <c r="Y103" s="563">
        <v>200</v>
      </c>
      <c r="Z103" s="563">
        <v>200</v>
      </c>
      <c r="AA103" s="563">
        <v>100</v>
      </c>
      <c r="AB103" s="564"/>
      <c r="AC103" s="554"/>
      <c r="AD103" s="982">
        <v>0.2</v>
      </c>
      <c r="AE103" s="982">
        <v>0.3</v>
      </c>
      <c r="AF103" s="982">
        <v>0.3</v>
      </c>
      <c r="AG103" s="984">
        <v>0.2</v>
      </c>
      <c r="AH103" s="985" t="s">
        <v>369</v>
      </c>
      <c r="AI103" s="986" t="s">
        <v>370</v>
      </c>
      <c r="AJ103" s="987"/>
      <c r="AK103" s="730"/>
      <c r="AO103" s="563" t="s">
        <v>169</v>
      </c>
      <c r="AV103" s="731"/>
      <c r="AW103" s="551"/>
    </row>
    <row r="104" spans="1:56" s="248" customFormat="1" ht="14.25" thickBot="1">
      <c r="A104" s="874" t="s">
        <v>386</v>
      </c>
      <c r="B104" s="234" t="s">
        <v>46</v>
      </c>
      <c r="C104" s="235">
        <v>950</v>
      </c>
      <c r="D104" s="239">
        <f>(성적입력!D$4/$H104)*I104</f>
        <v>130.58815152944803</v>
      </c>
      <c r="E104" s="239">
        <f>(성적입력!E$4/$H104)*J104</f>
        <v>238.69480990637135</v>
      </c>
      <c r="F104" s="239">
        <f>(성적입력!F$4/$H104)*K104</f>
        <v>262.5642908970085</v>
      </c>
      <c r="G104" s="240">
        <f>($M104/$H104)*L104</f>
        <v>136.07285389368485</v>
      </c>
      <c r="H104" s="241">
        <f>(X104*AD104+Y104*AE104+Z104*AF104+AA104*AG104*2)</f>
        <v>145.78658000000001</v>
      </c>
      <c r="I104" s="238">
        <f>AD104*$C104</f>
        <v>158.65</v>
      </c>
      <c r="J104" s="239">
        <f t="shared" si="173"/>
        <v>316.35000000000002</v>
      </c>
      <c r="K104" s="239">
        <f t="shared" si="174"/>
        <v>316.35000000000002</v>
      </c>
      <c r="L104" s="240">
        <f t="shared" si="175"/>
        <v>158.65</v>
      </c>
      <c r="M104" s="1038">
        <f>(LARGE(N104:R104,1)+LARGE(N104:R104,2)+LARGE(N104:R104,3))*2/3</f>
        <v>125.04</v>
      </c>
      <c r="N104" s="238">
        <f>VLOOKUP(성적입력!G$5,보정점수표!$A$3:$M$103,3,FALSE)</f>
        <v>63.7</v>
      </c>
      <c r="O104" s="239">
        <f>VLOOKUP(성적입력!H$5,보정점수표!$A$3:$M$103,3,FALSE)</f>
        <v>61.93</v>
      </c>
      <c r="P104" s="239">
        <f>VLOOKUP(성적입력!I$5,보정점수표!$A$3:$M$103,3,FALSE)</f>
        <v>61.93</v>
      </c>
      <c r="Q104" s="239">
        <f>VLOOKUP(성적입력!J$5,보정점수표!$A$3:$M$103,3,FALSE)</f>
        <v>35.31</v>
      </c>
      <c r="R104" s="240"/>
      <c r="S104" s="237"/>
      <c r="T104" s="242">
        <f>성적입력!D$4/계산도구!X104</f>
        <v>0.8571428571428571</v>
      </c>
      <c r="U104" s="242">
        <f>성적입력!E$4/계산도구!Y104</f>
        <v>0.71895424836601307</v>
      </c>
      <c r="V104" s="242">
        <f>성적입력!F$4/계산도구!Z104</f>
        <v>0.852112676056338</v>
      </c>
      <c r="W104" s="244"/>
      <c r="X104" s="235">
        <f>AK$2</f>
        <v>140</v>
      </c>
      <c r="Y104" s="235">
        <f>IF(성적입력!$K$4="가형",AL$2,AM$2)</f>
        <v>153</v>
      </c>
      <c r="Z104" s="235">
        <f>AN$2</f>
        <v>142</v>
      </c>
      <c r="AA104" s="245">
        <f>보정점수표!C3</f>
        <v>72.37</v>
      </c>
      <c r="AB104" s="246"/>
      <c r="AC104" s="237"/>
      <c r="AD104" s="1036">
        <v>0.16700000000000001</v>
      </c>
      <c r="AE104" s="1045">
        <v>0.33300000000000002</v>
      </c>
      <c r="AF104" s="1045">
        <v>0.33300000000000002</v>
      </c>
      <c r="AG104" s="1037">
        <v>0.16700000000000001</v>
      </c>
      <c r="AH104" s="237"/>
      <c r="AJ104" s="233"/>
      <c r="AK104" s="694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695"/>
    </row>
    <row r="105" spans="1:56" s="1008" customFormat="1">
      <c r="A105" s="991"/>
      <c r="B105" s="992"/>
      <c r="C105" s="993"/>
      <c r="D105" s="994"/>
      <c r="E105" s="995"/>
      <c r="F105" s="995"/>
      <c r="G105" s="996"/>
      <c r="H105" s="997"/>
      <c r="I105" s="998"/>
      <c r="J105" s="999"/>
      <c r="K105" s="999"/>
      <c r="L105" s="1000"/>
      <c r="M105" s="1001"/>
      <c r="N105" s="998"/>
      <c r="O105" s="998"/>
      <c r="P105" s="998"/>
      <c r="Q105" s="998"/>
      <c r="R105" s="1002"/>
      <c r="S105" s="997"/>
      <c r="T105" s="1003"/>
      <c r="U105" s="1004"/>
      <c r="V105" s="1005"/>
      <c r="W105" s="1006"/>
      <c r="X105" s="1007"/>
      <c r="AB105" s="1009"/>
      <c r="AC105" s="997"/>
      <c r="AD105" s="994"/>
      <c r="AE105" s="994"/>
      <c r="AF105" s="994"/>
      <c r="AG105" s="996"/>
      <c r="AH105" s="1010"/>
      <c r="AI105" s="1011"/>
      <c r="AJ105" s="1012"/>
      <c r="AK105" s="1013"/>
      <c r="AV105" s="1014"/>
      <c r="AW105" s="1007"/>
    </row>
    <row r="106" spans="1:56" s="31" customFormat="1">
      <c r="A106" s="909" t="s">
        <v>327</v>
      </c>
      <c r="B106" s="177"/>
      <c r="C106" s="250"/>
      <c r="D106" s="146"/>
      <c r="E106" s="146"/>
      <c r="F106" s="146"/>
      <c r="G106" s="151"/>
      <c r="H106" s="117"/>
      <c r="I106" s="152"/>
      <c r="J106" s="147"/>
      <c r="K106" s="147"/>
      <c r="L106" s="178"/>
      <c r="M106" s="182"/>
      <c r="N106" s="152"/>
      <c r="O106" s="147"/>
      <c r="P106" s="148"/>
      <c r="Q106" s="148"/>
      <c r="R106" s="184"/>
      <c r="S106" s="117"/>
      <c r="T106" s="185"/>
      <c r="U106" s="146"/>
      <c r="V106" s="151"/>
      <c r="W106" s="186"/>
      <c r="X106" s="32"/>
      <c r="AB106" s="176"/>
      <c r="AC106" s="117"/>
      <c r="AD106" s="1145"/>
      <c r="AE106" s="1146"/>
      <c r="AF106" s="1146"/>
      <c r="AG106" s="1146"/>
      <c r="AI106" s="666"/>
      <c r="AJ106" s="688"/>
      <c r="AK106" s="740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741"/>
      <c r="AW106" s="32"/>
    </row>
    <row r="107" spans="1:56" s="31" customFormat="1">
      <c r="A107" s="910"/>
      <c r="B107" s="177" t="s">
        <v>171</v>
      </c>
      <c r="C107" s="250"/>
      <c r="D107" s="146"/>
      <c r="E107" s="146"/>
      <c r="F107" s="146"/>
      <c r="G107" s="151"/>
      <c r="H107" s="117"/>
      <c r="I107" s="152"/>
      <c r="J107" s="147"/>
      <c r="K107" s="147"/>
      <c r="L107" s="178"/>
      <c r="M107" s="182"/>
      <c r="N107" s="152"/>
      <c r="O107" s="147"/>
      <c r="P107" s="148"/>
      <c r="Q107" s="148"/>
      <c r="R107" s="184"/>
      <c r="S107" s="117"/>
      <c r="T107" s="185"/>
      <c r="U107" s="146"/>
      <c r="V107" s="151"/>
      <c r="W107" s="186"/>
      <c r="X107" s="32"/>
      <c r="AB107" s="176"/>
      <c r="AC107" s="117"/>
      <c r="AD107" s="1145"/>
      <c r="AE107" s="1146"/>
      <c r="AF107" s="1146"/>
      <c r="AG107" s="1146"/>
      <c r="AI107" s="666"/>
      <c r="AJ107" s="688"/>
      <c r="AK107" s="740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741"/>
      <c r="AW107" s="32"/>
    </row>
    <row r="108" spans="1:56" s="31" customFormat="1">
      <c r="A108" s="1427"/>
      <c r="B108" s="177" t="s">
        <v>172</v>
      </c>
      <c r="C108" s="250">
        <v>200</v>
      </c>
      <c r="D108" s="146"/>
      <c r="E108" s="146"/>
      <c r="F108" s="146"/>
      <c r="G108" s="151"/>
      <c r="H108" s="117"/>
      <c r="I108" s="152"/>
      <c r="J108" s="147"/>
      <c r="K108" s="147"/>
      <c r="L108" s="178"/>
      <c r="M108" s="182"/>
      <c r="N108" s="152"/>
      <c r="O108" s="147"/>
      <c r="P108" s="148"/>
      <c r="Q108" s="148"/>
      <c r="R108" s="184"/>
      <c r="S108" s="117"/>
      <c r="T108" s="185"/>
      <c r="U108" s="146"/>
      <c r="V108" s="151"/>
      <c r="W108" s="186"/>
      <c r="X108" s="32"/>
      <c r="AB108" s="176"/>
      <c r="AC108" s="117"/>
      <c r="AD108" s="1145"/>
      <c r="AE108" s="1146"/>
      <c r="AF108" s="1146"/>
      <c r="AG108" s="1146"/>
      <c r="AI108" s="666"/>
      <c r="AJ108" s="688"/>
      <c r="AK108" s="740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741"/>
      <c r="AW108" s="32"/>
    </row>
    <row r="109" spans="1:56" s="31" customFormat="1">
      <c r="A109" s="1428"/>
      <c r="B109" s="177" t="s">
        <v>173</v>
      </c>
      <c r="C109" s="250" t="s">
        <v>174</v>
      </c>
      <c r="D109" s="146"/>
      <c r="E109" s="146"/>
      <c r="F109" s="146"/>
      <c r="G109" s="151"/>
      <c r="H109" s="117"/>
      <c r="I109" s="152"/>
      <c r="J109" s="147"/>
      <c r="K109" s="147"/>
      <c r="L109" s="178"/>
      <c r="M109" s="182"/>
      <c r="N109" s="152"/>
      <c r="O109" s="147"/>
      <c r="P109" s="148"/>
      <c r="Q109" s="148"/>
      <c r="R109" s="184"/>
      <c r="S109" s="117"/>
      <c r="T109" s="185"/>
      <c r="U109" s="146"/>
      <c r="V109" s="151"/>
      <c r="W109" s="186"/>
      <c r="X109" s="32"/>
      <c r="AB109" s="176"/>
      <c r="AC109" s="117"/>
      <c r="AD109" s="1145"/>
      <c r="AE109" s="1146"/>
      <c r="AF109" s="1146"/>
      <c r="AG109" s="1146"/>
      <c r="AI109" s="666"/>
      <c r="AJ109" s="688"/>
      <c r="AK109" s="740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741"/>
      <c r="AW109" s="32"/>
    </row>
    <row r="110" spans="1:56" s="31" customFormat="1">
      <c r="A110" s="1429"/>
      <c r="B110" s="177" t="s">
        <v>172</v>
      </c>
      <c r="C110" s="250" t="s">
        <v>175</v>
      </c>
      <c r="D110" s="146"/>
      <c r="E110" s="146"/>
      <c r="F110" s="146"/>
      <c r="G110" s="151"/>
      <c r="H110" s="117"/>
      <c r="I110" s="152"/>
      <c r="J110" s="147"/>
      <c r="K110" s="147"/>
      <c r="L110" s="178"/>
      <c r="M110" s="182"/>
      <c r="N110" s="152"/>
      <c r="O110" s="147"/>
      <c r="P110" s="148"/>
      <c r="Q110" s="148"/>
      <c r="R110" s="184"/>
      <c r="S110" s="117"/>
      <c r="T110" s="185"/>
      <c r="U110" s="146"/>
      <c r="V110" s="151"/>
      <c r="W110" s="186"/>
      <c r="X110" s="32"/>
      <c r="AB110" s="176"/>
      <c r="AC110" s="117"/>
      <c r="AD110" s="1145"/>
      <c r="AE110" s="1146"/>
      <c r="AF110" s="1146"/>
      <c r="AG110" s="1146"/>
      <c r="AI110" s="666"/>
      <c r="AJ110" s="688"/>
      <c r="AK110" s="740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741"/>
      <c r="AW110" s="32"/>
    </row>
    <row r="111" spans="1:56" s="31" customFormat="1">
      <c r="A111" s="1430"/>
      <c r="B111" s="177" t="s">
        <v>173</v>
      </c>
      <c r="C111" s="250" t="s">
        <v>176</v>
      </c>
      <c r="D111" s="146"/>
      <c r="E111" s="146"/>
      <c r="F111" s="146"/>
      <c r="G111" s="151"/>
      <c r="H111" s="117"/>
      <c r="I111" s="152"/>
      <c r="J111" s="147"/>
      <c r="K111" s="147"/>
      <c r="L111" s="178"/>
      <c r="M111" s="182"/>
      <c r="N111" s="152"/>
      <c r="O111" s="147"/>
      <c r="P111" s="148"/>
      <c r="Q111" s="148"/>
      <c r="R111" s="184"/>
      <c r="S111" s="117"/>
      <c r="T111" s="185"/>
      <c r="U111" s="146"/>
      <c r="V111" s="151"/>
      <c r="W111" s="186"/>
      <c r="X111" s="32"/>
      <c r="AB111" s="176"/>
      <c r="AC111" s="117"/>
      <c r="AD111" s="1145"/>
      <c r="AE111" s="1146"/>
      <c r="AF111" s="1146"/>
      <c r="AG111" s="1146"/>
      <c r="AI111" s="666"/>
      <c r="AJ111" s="688"/>
      <c r="AK111" s="740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741"/>
      <c r="AW111" s="32"/>
    </row>
    <row r="112" spans="1:56" s="31" customFormat="1">
      <c r="A112" s="911"/>
      <c r="B112" s="177" t="s">
        <v>177</v>
      </c>
      <c r="C112" s="250" t="s">
        <v>178</v>
      </c>
      <c r="D112" s="146"/>
      <c r="E112" s="146"/>
      <c r="F112" s="146"/>
      <c r="G112" s="151"/>
      <c r="H112" s="117"/>
      <c r="I112" s="152"/>
      <c r="J112" s="147"/>
      <c r="K112" s="147"/>
      <c r="L112" s="178"/>
      <c r="M112" s="182"/>
      <c r="N112" s="152"/>
      <c r="O112" s="147"/>
      <c r="P112" s="148"/>
      <c r="Q112" s="148"/>
      <c r="R112" s="184"/>
      <c r="S112" s="117"/>
      <c r="T112" s="185"/>
      <c r="U112" s="146"/>
      <c r="V112" s="151"/>
      <c r="W112" s="186"/>
      <c r="X112" s="32"/>
      <c r="AB112" s="176"/>
      <c r="AC112" s="117"/>
      <c r="AD112" s="1145"/>
      <c r="AE112" s="1146"/>
      <c r="AF112" s="1146"/>
      <c r="AG112" s="1146"/>
      <c r="AI112" s="666"/>
      <c r="AJ112" s="688"/>
      <c r="AK112" s="740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741"/>
      <c r="AW112" s="32"/>
    </row>
    <row r="113" spans="1:49" s="31" customFormat="1">
      <c r="A113" s="912"/>
      <c r="B113" s="177" t="s">
        <v>173</v>
      </c>
      <c r="C113" s="250" t="s">
        <v>179</v>
      </c>
      <c r="D113" s="146"/>
      <c r="E113" s="146"/>
      <c r="F113" s="146"/>
      <c r="G113" s="151"/>
      <c r="H113" s="117"/>
      <c r="I113" s="152"/>
      <c r="J113" s="147"/>
      <c r="K113" s="147"/>
      <c r="L113" s="178"/>
      <c r="M113" s="182"/>
      <c r="N113" s="152"/>
      <c r="O113" s="147"/>
      <c r="P113" s="148"/>
      <c r="Q113" s="148"/>
      <c r="R113" s="184"/>
      <c r="S113" s="117"/>
      <c r="T113" s="185"/>
      <c r="U113" s="146"/>
      <c r="V113" s="151"/>
      <c r="W113" s="186"/>
      <c r="X113" s="32"/>
      <c r="AB113" s="176"/>
      <c r="AC113" s="117"/>
      <c r="AD113" s="1145"/>
      <c r="AE113" s="1146"/>
      <c r="AF113" s="1146"/>
      <c r="AG113" s="1146"/>
      <c r="AI113" s="666"/>
      <c r="AJ113" s="688"/>
      <c r="AK113" s="740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741"/>
      <c r="AW113" s="32"/>
    </row>
    <row r="114" spans="1:49" s="31" customFormat="1">
      <c r="A114" s="913"/>
      <c r="B114" s="177" t="s">
        <v>180</v>
      </c>
      <c r="C114" s="250" t="s">
        <v>181</v>
      </c>
      <c r="D114" s="146"/>
      <c r="E114" s="146"/>
      <c r="F114" s="146"/>
      <c r="G114" s="151"/>
      <c r="H114" s="117"/>
      <c r="I114" s="152"/>
      <c r="J114" s="147"/>
      <c r="K114" s="147"/>
      <c r="L114" s="178"/>
      <c r="M114" s="182"/>
      <c r="N114" s="152"/>
      <c r="O114" s="147"/>
      <c r="P114" s="148"/>
      <c r="Q114" s="148"/>
      <c r="R114" s="184"/>
      <c r="S114" s="117"/>
      <c r="T114" s="185"/>
      <c r="U114" s="146"/>
      <c r="V114" s="151"/>
      <c r="W114" s="186"/>
      <c r="X114" s="32"/>
      <c r="AB114" s="176"/>
      <c r="AC114" s="117"/>
      <c r="AD114" s="1145"/>
      <c r="AE114" s="1146"/>
      <c r="AF114" s="1146"/>
      <c r="AG114" s="1146"/>
      <c r="AI114" s="666"/>
      <c r="AJ114" s="688"/>
      <c r="AK114" s="740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741"/>
      <c r="AW114" s="32"/>
    </row>
    <row r="115" spans="1:49" s="31" customFormat="1">
      <c r="A115" s="1431"/>
      <c r="B115" s="177" t="s">
        <v>172</v>
      </c>
      <c r="C115" s="250">
        <v>200</v>
      </c>
      <c r="D115" s="146"/>
      <c r="E115" s="146"/>
      <c r="F115" s="146"/>
      <c r="G115" s="151"/>
      <c r="H115" s="117"/>
      <c r="I115" s="152"/>
      <c r="J115" s="147"/>
      <c r="K115" s="147"/>
      <c r="L115" s="178"/>
      <c r="M115" s="182"/>
      <c r="N115" s="152"/>
      <c r="O115" s="147"/>
      <c r="P115" s="148"/>
      <c r="Q115" s="148"/>
      <c r="R115" s="184"/>
      <c r="S115" s="117"/>
      <c r="T115" s="185"/>
      <c r="U115" s="146"/>
      <c r="V115" s="151"/>
      <c r="W115" s="186"/>
      <c r="X115" s="32"/>
      <c r="AB115" s="176"/>
      <c r="AC115" s="117"/>
      <c r="AD115" s="1145"/>
      <c r="AE115" s="1146"/>
      <c r="AF115" s="1146"/>
      <c r="AG115" s="1146"/>
      <c r="AI115" s="666"/>
      <c r="AJ115" s="688"/>
      <c r="AK115" s="740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741"/>
      <c r="AW115" s="32"/>
    </row>
    <row r="116" spans="1:49" s="31" customFormat="1">
      <c r="A116" s="1432"/>
      <c r="B116" s="177" t="s">
        <v>173</v>
      </c>
      <c r="C116" s="250" t="s">
        <v>178</v>
      </c>
      <c r="D116" s="146"/>
      <c r="E116" s="146"/>
      <c r="F116" s="146"/>
      <c r="G116" s="151"/>
      <c r="H116" s="117"/>
      <c r="I116" s="152"/>
      <c r="J116" s="147"/>
      <c r="K116" s="147"/>
      <c r="L116" s="178"/>
      <c r="M116" s="182"/>
      <c r="N116" s="152"/>
      <c r="O116" s="147"/>
      <c r="P116" s="148"/>
      <c r="Q116" s="148"/>
      <c r="R116" s="184"/>
      <c r="S116" s="117"/>
      <c r="T116" s="185"/>
      <c r="U116" s="146"/>
      <c r="V116" s="151"/>
      <c r="W116" s="186"/>
      <c r="X116" s="32"/>
      <c r="AB116" s="176"/>
      <c r="AC116" s="117"/>
      <c r="AD116" s="1145"/>
      <c r="AE116" s="1146"/>
      <c r="AF116" s="1146"/>
      <c r="AG116" s="1146"/>
      <c r="AI116" s="666"/>
      <c r="AJ116" s="688"/>
      <c r="AK116" s="740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741"/>
      <c r="AW116" s="32"/>
    </row>
    <row r="117" spans="1:49" s="31" customFormat="1">
      <c r="A117" s="1425"/>
      <c r="B117" s="177" t="s">
        <v>201</v>
      </c>
      <c r="C117" s="32" t="s">
        <v>202</v>
      </c>
      <c r="D117" s="146"/>
      <c r="E117" s="146"/>
      <c r="F117" s="146"/>
      <c r="G117" s="151"/>
      <c r="H117" s="117"/>
      <c r="I117" s="152"/>
      <c r="J117" s="147"/>
      <c r="K117" s="147"/>
      <c r="L117" s="178"/>
      <c r="M117" s="182"/>
      <c r="N117" s="152"/>
      <c r="O117" s="147"/>
      <c r="P117" s="148"/>
      <c r="Q117" s="148"/>
      <c r="R117" s="184"/>
      <c r="S117" s="117"/>
      <c r="T117" s="185"/>
      <c r="U117" s="146"/>
      <c r="V117" s="151"/>
      <c r="W117" s="186"/>
      <c r="X117" s="32"/>
      <c r="AB117" s="176"/>
      <c r="AC117" s="117"/>
      <c r="AD117" s="1145"/>
      <c r="AE117" s="1146"/>
      <c r="AF117" s="1146"/>
      <c r="AG117" s="1146"/>
      <c r="AI117" s="666"/>
      <c r="AJ117" s="688"/>
      <c r="AK117" s="740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741"/>
      <c r="AW117" s="32"/>
    </row>
    <row r="118" spans="1:49" s="31" customFormat="1">
      <c r="A118" s="1426"/>
      <c r="B118" s="177" t="s">
        <v>203</v>
      </c>
      <c r="C118" s="32" t="s">
        <v>204</v>
      </c>
      <c r="D118" s="146"/>
      <c r="E118" s="146"/>
      <c r="F118" s="146"/>
      <c r="G118" s="151"/>
      <c r="H118" s="117"/>
      <c r="I118" s="152"/>
      <c r="J118" s="147"/>
      <c r="K118" s="147"/>
      <c r="L118" s="178"/>
      <c r="M118" s="182"/>
      <c r="N118" s="152"/>
      <c r="O118" s="147"/>
      <c r="P118" s="148"/>
      <c r="Q118" s="148"/>
      <c r="R118" s="184"/>
      <c r="S118" s="117"/>
      <c r="T118" s="185"/>
      <c r="U118" s="146"/>
      <c r="V118" s="151"/>
      <c r="W118" s="186"/>
      <c r="X118" s="32"/>
      <c r="AB118" s="176"/>
      <c r="AC118" s="117"/>
      <c r="AD118" s="1145"/>
      <c r="AE118" s="1146"/>
      <c r="AF118" s="1146"/>
      <c r="AG118" s="1146"/>
      <c r="AI118" s="666"/>
      <c r="AJ118" s="688"/>
      <c r="AK118" s="740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741"/>
      <c r="AW118" s="32"/>
    </row>
    <row r="119" spans="1:49" s="31" customFormat="1">
      <c r="A119" s="909"/>
      <c r="B119" s="177"/>
      <c r="C119" s="32"/>
      <c r="D119" s="146"/>
      <c r="E119" s="146"/>
      <c r="F119" s="146"/>
      <c r="G119" s="151"/>
      <c r="H119" s="117"/>
      <c r="I119" s="152"/>
      <c r="J119" s="147"/>
      <c r="K119" s="147"/>
      <c r="L119" s="178"/>
      <c r="M119" s="182"/>
      <c r="N119" s="152"/>
      <c r="O119" s="147"/>
      <c r="P119" s="148"/>
      <c r="Q119" s="148"/>
      <c r="R119" s="184"/>
      <c r="S119" s="117"/>
      <c r="T119" s="185"/>
      <c r="U119" s="146"/>
      <c r="V119" s="151"/>
      <c r="W119" s="186"/>
      <c r="X119" s="32"/>
      <c r="AB119" s="176"/>
      <c r="AC119" s="117"/>
      <c r="AD119" s="1145"/>
      <c r="AE119" s="1146"/>
      <c r="AF119" s="1146"/>
      <c r="AG119" s="1146"/>
      <c r="AI119" s="666"/>
      <c r="AJ119" s="688"/>
      <c r="AK119" s="740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741"/>
      <c r="AW119" s="32"/>
    </row>
    <row r="120" spans="1:49" s="31" customFormat="1">
      <c r="A120" s="909"/>
      <c r="B120" s="177"/>
      <c r="C120" s="32"/>
      <c r="D120" s="146"/>
      <c r="E120" s="146"/>
      <c r="F120" s="146"/>
      <c r="G120" s="151"/>
      <c r="H120" s="117"/>
      <c r="I120" s="152"/>
      <c r="J120" s="147"/>
      <c r="K120" s="147"/>
      <c r="L120" s="178"/>
      <c r="M120" s="182"/>
      <c r="N120" s="152"/>
      <c r="O120" s="147"/>
      <c r="P120" s="148"/>
      <c r="Q120" s="148"/>
      <c r="R120" s="184"/>
      <c r="S120" s="117"/>
      <c r="T120" s="185"/>
      <c r="U120" s="146"/>
      <c r="V120" s="151"/>
      <c r="W120" s="186"/>
      <c r="X120" s="32"/>
      <c r="AB120" s="176"/>
      <c r="AC120" s="117"/>
      <c r="AD120" s="1145"/>
      <c r="AE120" s="1146"/>
      <c r="AF120" s="1146"/>
      <c r="AG120" s="1146"/>
      <c r="AI120" s="666"/>
      <c r="AJ120" s="688"/>
      <c r="AK120" s="740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741"/>
      <c r="AW120" s="32"/>
    </row>
    <row r="121" spans="1:49" s="31" customFormat="1">
      <c r="A121" s="909"/>
      <c r="B121" s="177"/>
      <c r="C121" s="32"/>
      <c r="D121" s="146"/>
      <c r="E121" s="146"/>
      <c r="F121" s="146"/>
      <c r="G121" s="151"/>
      <c r="H121" s="117"/>
      <c r="I121" s="152"/>
      <c r="J121" s="147"/>
      <c r="K121" s="147"/>
      <c r="L121" s="178"/>
      <c r="M121" s="182"/>
      <c r="N121" s="152"/>
      <c r="O121" s="147"/>
      <c r="P121" s="148"/>
      <c r="Q121" s="148"/>
      <c r="R121" s="184"/>
      <c r="S121" s="117"/>
      <c r="T121" s="185"/>
      <c r="U121" s="146"/>
      <c r="V121" s="151"/>
      <c r="W121" s="186"/>
      <c r="X121" s="32"/>
      <c r="AB121" s="176"/>
      <c r="AC121" s="117"/>
      <c r="AD121" s="1145"/>
      <c r="AE121" s="1146"/>
      <c r="AF121" s="1146"/>
      <c r="AG121" s="1146"/>
      <c r="AI121" s="666"/>
      <c r="AJ121" s="688"/>
      <c r="AK121" s="740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741"/>
      <c r="AW121" s="32"/>
    </row>
    <row r="122" spans="1:49" s="31" customFormat="1">
      <c r="A122" s="909"/>
      <c r="B122" s="177"/>
      <c r="C122" s="32"/>
      <c r="D122" s="146"/>
      <c r="E122" s="146"/>
      <c r="F122" s="146"/>
      <c r="G122" s="151"/>
      <c r="H122" s="117"/>
      <c r="I122" s="152"/>
      <c r="J122" s="147"/>
      <c r="K122" s="147"/>
      <c r="L122" s="178"/>
      <c r="M122" s="182"/>
      <c r="N122" s="152"/>
      <c r="O122" s="147"/>
      <c r="P122" s="148"/>
      <c r="Q122" s="148"/>
      <c r="R122" s="184"/>
      <c r="S122" s="117"/>
      <c r="T122" s="185"/>
      <c r="U122" s="146"/>
      <c r="V122" s="151"/>
      <c r="W122" s="186"/>
      <c r="X122" s="32"/>
      <c r="AB122" s="176"/>
      <c r="AC122" s="117"/>
      <c r="AD122" s="1145"/>
      <c r="AE122" s="1146"/>
      <c r="AF122" s="1146"/>
      <c r="AG122" s="1146"/>
      <c r="AI122" s="666"/>
      <c r="AJ122" s="688"/>
      <c r="AK122" s="740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741"/>
      <c r="AW122" s="32"/>
    </row>
    <row r="123" spans="1:49" s="31" customFormat="1">
      <c r="A123" s="909"/>
      <c r="B123" s="177"/>
      <c r="C123" s="32"/>
      <c r="D123" s="146"/>
      <c r="E123" s="146"/>
      <c r="F123" s="146"/>
      <c r="G123" s="151"/>
      <c r="H123" s="117"/>
      <c r="I123" s="152"/>
      <c r="J123" s="147"/>
      <c r="K123" s="147"/>
      <c r="L123" s="178"/>
      <c r="M123" s="182"/>
      <c r="N123" s="152"/>
      <c r="O123" s="147"/>
      <c r="P123" s="148"/>
      <c r="Q123" s="148"/>
      <c r="R123" s="184"/>
      <c r="S123" s="117"/>
      <c r="T123" s="185"/>
      <c r="U123" s="146"/>
      <c r="V123" s="151"/>
      <c r="W123" s="186"/>
      <c r="X123" s="32"/>
      <c r="AB123" s="176"/>
      <c r="AC123" s="117"/>
      <c r="AD123" s="1145"/>
      <c r="AE123" s="1146"/>
      <c r="AF123" s="1146"/>
      <c r="AG123" s="1146"/>
      <c r="AI123" s="666"/>
      <c r="AJ123" s="688"/>
      <c r="AK123" s="740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741"/>
      <c r="AW123" s="32"/>
    </row>
    <row r="124" spans="1:49" s="31" customFormat="1">
      <c r="A124" s="909"/>
      <c r="B124" s="177"/>
      <c r="C124" s="32"/>
      <c r="D124" s="146"/>
      <c r="E124" s="146"/>
      <c r="F124" s="146"/>
      <c r="G124" s="151"/>
      <c r="H124" s="117"/>
      <c r="I124" s="152"/>
      <c r="J124" s="147"/>
      <c r="K124" s="147"/>
      <c r="L124" s="178"/>
      <c r="M124" s="182"/>
      <c r="N124" s="152"/>
      <c r="O124" s="147"/>
      <c r="P124" s="148"/>
      <c r="Q124" s="148"/>
      <c r="R124" s="184"/>
      <c r="S124" s="117"/>
      <c r="T124" s="185"/>
      <c r="U124" s="146"/>
      <c r="V124" s="151"/>
      <c r="W124" s="186"/>
      <c r="X124" s="32"/>
      <c r="AB124" s="176"/>
      <c r="AC124" s="117"/>
      <c r="AD124" s="1145"/>
      <c r="AE124" s="1146"/>
      <c r="AF124" s="1146"/>
      <c r="AG124" s="1146"/>
      <c r="AI124" s="666"/>
      <c r="AJ124" s="688"/>
      <c r="AK124" s="740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741"/>
      <c r="AW124" s="32"/>
    </row>
  </sheetData>
  <sheetProtection password="CA14" sheet="1" objects="1" scenarios="1"/>
  <mergeCells count="17">
    <mergeCell ref="A117:A118"/>
    <mergeCell ref="A108:A109"/>
    <mergeCell ref="A110:A111"/>
    <mergeCell ref="A115:A116"/>
    <mergeCell ref="AI84:AK84"/>
    <mergeCell ref="AI85:AK85"/>
    <mergeCell ref="AH89:AI89"/>
    <mergeCell ref="AH90:AI90"/>
    <mergeCell ref="AH101:AI101"/>
    <mergeCell ref="AI86:AK86"/>
    <mergeCell ref="AI87:AK87"/>
    <mergeCell ref="AI88:AK88"/>
    <mergeCell ref="AH1:AI1"/>
    <mergeCell ref="AH80:AK80"/>
    <mergeCell ref="AH55:AH56"/>
    <mergeCell ref="AH78:AI78"/>
    <mergeCell ref="AI79:AK79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7" sqref="J17"/>
    </sheetView>
  </sheetViews>
  <sheetFormatPr defaultRowHeight="13.5"/>
  <cols>
    <col min="1" max="1" width="9.140625" style="38"/>
    <col min="2" max="2" width="9.140625" style="1235"/>
    <col min="3" max="5" width="9.140625" style="1207"/>
    <col min="6" max="7" width="9.140625" style="96"/>
    <col min="8" max="9" width="9.140625" style="1236"/>
    <col min="10" max="12" width="9.140625" style="1207"/>
    <col min="13" max="13" width="9.140625" style="1236"/>
    <col min="14" max="16384" width="9.140625" style="2"/>
  </cols>
  <sheetData>
    <row r="1" spans="1:14">
      <c r="A1" s="37" t="s">
        <v>7</v>
      </c>
      <c r="B1" s="1453" t="s">
        <v>494</v>
      </c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5"/>
    </row>
    <row r="2" spans="1:14" ht="14.25" thickBot="1">
      <c r="A2" s="38" t="s">
        <v>8</v>
      </c>
      <c r="B2" s="1235" t="s">
        <v>495</v>
      </c>
      <c r="C2" s="1207" t="s">
        <v>496</v>
      </c>
      <c r="D2" s="1207" t="s">
        <v>497</v>
      </c>
      <c r="E2" s="1207" t="s">
        <v>498</v>
      </c>
      <c r="F2" s="1207" t="s">
        <v>516</v>
      </c>
      <c r="G2" s="1207" t="s">
        <v>516</v>
      </c>
      <c r="H2" s="1207" t="s">
        <v>499</v>
      </c>
      <c r="I2" s="1207" t="s">
        <v>500</v>
      </c>
      <c r="J2" s="1207" t="s">
        <v>501</v>
      </c>
      <c r="K2" s="1207" t="s">
        <v>502</v>
      </c>
      <c r="L2" s="1207" t="s">
        <v>503</v>
      </c>
      <c r="M2" s="1236" t="s">
        <v>504</v>
      </c>
    </row>
    <row r="3" spans="1:14" s="17" customFormat="1">
      <c r="A3" s="42">
        <f>103-ROW()</f>
        <v>100</v>
      </c>
      <c r="B3" s="1237">
        <v>72.38</v>
      </c>
      <c r="C3" s="1208">
        <v>72.37</v>
      </c>
      <c r="D3" s="1208">
        <v>72.38</v>
      </c>
      <c r="E3" s="1208">
        <v>72.38</v>
      </c>
      <c r="F3" s="1208">
        <v>72.37</v>
      </c>
      <c r="G3" s="1208">
        <v>72.37</v>
      </c>
      <c r="H3" s="1208">
        <v>52.5</v>
      </c>
      <c r="I3" s="1208">
        <v>72.37</v>
      </c>
      <c r="J3" s="1208">
        <v>72.63</v>
      </c>
      <c r="K3" s="1267">
        <v>72.5625</v>
      </c>
      <c r="L3" s="1208">
        <v>72.38</v>
      </c>
      <c r="M3" s="1238">
        <v>72.38</v>
      </c>
      <c r="N3" s="20"/>
    </row>
    <row r="4" spans="1:14" s="31" customFormat="1">
      <c r="A4" s="43">
        <f t="shared" ref="A4:A67" si="0">103-ROW()</f>
        <v>99</v>
      </c>
      <c r="B4" s="1239">
        <v>70.97</v>
      </c>
      <c r="C4" s="1209">
        <v>71.12</v>
      </c>
      <c r="D4" s="1209">
        <v>71.13</v>
      </c>
      <c r="E4" s="1209">
        <v>71.13</v>
      </c>
      <c r="F4" s="1209">
        <v>71.12</v>
      </c>
      <c r="G4" s="1209">
        <v>71.12</v>
      </c>
      <c r="H4" s="1209">
        <v>51.593264248704664</v>
      </c>
      <c r="I4" s="1209">
        <v>71.12</v>
      </c>
      <c r="J4" s="1209">
        <v>71.13</v>
      </c>
      <c r="K4" s="1268">
        <v>71</v>
      </c>
      <c r="L4" s="1209">
        <v>72</v>
      </c>
      <c r="M4" s="1240">
        <v>71.13</v>
      </c>
      <c r="N4" s="32"/>
    </row>
    <row r="5" spans="1:14" s="31" customFormat="1">
      <c r="A5" s="43">
        <f t="shared" si="0"/>
        <v>98</v>
      </c>
      <c r="B5" s="1239">
        <v>69.94</v>
      </c>
      <c r="C5" s="1209">
        <v>69.930000000000007</v>
      </c>
      <c r="D5" s="1209">
        <v>69.94</v>
      </c>
      <c r="E5" s="1209">
        <v>69.94</v>
      </c>
      <c r="F5" s="1209">
        <v>69.930000000000007</v>
      </c>
      <c r="G5" s="1209">
        <v>69.930000000000007</v>
      </c>
      <c r="H5" s="1209">
        <v>50.732227979274619</v>
      </c>
      <c r="I5" s="1209">
        <v>69.930000000000007</v>
      </c>
      <c r="J5" s="1209">
        <v>69.94</v>
      </c>
      <c r="K5" s="1268">
        <v>69.875</v>
      </c>
      <c r="L5" s="1209">
        <v>70.25</v>
      </c>
      <c r="M5" s="1240">
        <v>69.94</v>
      </c>
      <c r="N5" s="32"/>
    </row>
    <row r="6" spans="1:14" s="31" customFormat="1">
      <c r="A6" s="43">
        <f t="shared" si="0"/>
        <v>97</v>
      </c>
      <c r="B6" s="1239">
        <v>69</v>
      </c>
      <c r="C6" s="1209">
        <v>69</v>
      </c>
      <c r="D6" s="1209">
        <v>69</v>
      </c>
      <c r="E6" s="1209">
        <v>69</v>
      </c>
      <c r="F6" s="1209">
        <v>69</v>
      </c>
      <c r="G6" s="1209">
        <v>69</v>
      </c>
      <c r="H6" s="1209">
        <v>50.051813471502591</v>
      </c>
      <c r="I6" s="1209">
        <v>69</v>
      </c>
      <c r="J6" s="1209">
        <v>69</v>
      </c>
      <c r="K6" s="1268">
        <v>68.9375</v>
      </c>
      <c r="L6" s="1209">
        <v>69.25</v>
      </c>
      <c r="M6" s="1240">
        <v>69</v>
      </c>
      <c r="N6" s="32"/>
    </row>
    <row r="7" spans="1:14" s="31" customFormat="1">
      <c r="A7" s="43">
        <f t="shared" si="0"/>
        <v>96</v>
      </c>
      <c r="B7" s="1239">
        <v>68.25</v>
      </c>
      <c r="C7" s="1209">
        <v>68.25</v>
      </c>
      <c r="D7" s="1209">
        <v>68.25</v>
      </c>
      <c r="E7" s="1209">
        <v>68.25</v>
      </c>
      <c r="F7" s="1209">
        <v>68.25</v>
      </c>
      <c r="G7" s="1209">
        <v>68.25</v>
      </c>
      <c r="H7" s="1209">
        <v>49.50777202072539</v>
      </c>
      <c r="I7" s="1209">
        <v>68.25</v>
      </c>
      <c r="J7" s="1209">
        <v>68.25</v>
      </c>
      <c r="K7" s="1268">
        <v>68.21875</v>
      </c>
      <c r="L7" s="1209">
        <v>68.5</v>
      </c>
      <c r="M7" s="1240">
        <v>68.25</v>
      </c>
      <c r="N7" s="32"/>
    </row>
    <row r="8" spans="1:14" s="31" customFormat="1">
      <c r="A8" s="43">
        <f t="shared" si="0"/>
        <v>95</v>
      </c>
      <c r="B8" s="1239">
        <v>67.44</v>
      </c>
      <c r="C8" s="1209">
        <v>67.430000000000007</v>
      </c>
      <c r="D8" s="1209">
        <v>67.44</v>
      </c>
      <c r="E8" s="1209">
        <v>67.44</v>
      </c>
      <c r="F8" s="1209">
        <v>67.430000000000007</v>
      </c>
      <c r="G8" s="1209">
        <v>67.430000000000007</v>
      </c>
      <c r="H8" s="1209">
        <v>48.918393782383426</v>
      </c>
      <c r="I8" s="1209">
        <v>67.430000000000007</v>
      </c>
      <c r="J8" s="1209">
        <v>67.44</v>
      </c>
      <c r="K8" s="1268">
        <v>67.4375</v>
      </c>
      <c r="L8" s="1209">
        <v>67.88</v>
      </c>
      <c r="M8" s="1240">
        <v>67.44</v>
      </c>
      <c r="N8" s="32"/>
    </row>
    <row r="9" spans="1:14" s="31" customFormat="1">
      <c r="A9" s="43">
        <f t="shared" si="0"/>
        <v>94</v>
      </c>
      <c r="B9" s="1239">
        <v>66.86</v>
      </c>
      <c r="C9" s="1209">
        <v>66.849999999999994</v>
      </c>
      <c r="D9" s="1209">
        <v>66.98</v>
      </c>
      <c r="E9" s="1209">
        <v>66.849999999999994</v>
      </c>
      <c r="F9" s="1209">
        <v>66.849999999999994</v>
      </c>
      <c r="G9" s="1209">
        <v>66.849999999999994</v>
      </c>
      <c r="H9" s="1209">
        <v>48.494041450777203</v>
      </c>
      <c r="I9" s="1209">
        <v>66.849999999999994</v>
      </c>
      <c r="J9" s="1209">
        <v>66.86</v>
      </c>
      <c r="K9" s="1268">
        <v>66.854166666666671</v>
      </c>
      <c r="L9" s="1209">
        <v>67.13</v>
      </c>
      <c r="M9" s="1240">
        <v>66.849999999999994</v>
      </c>
      <c r="N9" s="32"/>
    </row>
    <row r="10" spans="1:14" s="31" customFormat="1">
      <c r="A10" s="43">
        <f t="shared" si="0"/>
        <v>93</v>
      </c>
      <c r="B10" s="1239">
        <v>66.33</v>
      </c>
      <c r="C10" s="1209">
        <v>66.33</v>
      </c>
      <c r="D10" s="1209">
        <v>66.33</v>
      </c>
      <c r="E10" s="1209">
        <v>66.33</v>
      </c>
      <c r="F10" s="1209">
        <v>66.33</v>
      </c>
      <c r="G10" s="1209">
        <v>66.33</v>
      </c>
      <c r="H10" s="1209">
        <v>48.116839378238339</v>
      </c>
      <c r="I10" s="1209">
        <v>66.33</v>
      </c>
      <c r="J10" s="1209">
        <v>66.33</v>
      </c>
      <c r="K10" s="1268">
        <v>66.333333333333329</v>
      </c>
      <c r="L10" s="1209">
        <v>66.63</v>
      </c>
      <c r="M10" s="1240">
        <v>66.33</v>
      </c>
      <c r="N10" s="32"/>
    </row>
    <row r="11" spans="1:14" s="31" customFormat="1">
      <c r="A11" s="43">
        <f t="shared" si="0"/>
        <v>92</v>
      </c>
      <c r="B11" s="1239">
        <v>65.900000000000006</v>
      </c>
      <c r="C11" s="1209">
        <v>65.89</v>
      </c>
      <c r="D11" s="1209">
        <v>65.900000000000006</v>
      </c>
      <c r="E11" s="1209">
        <v>65.900000000000006</v>
      </c>
      <c r="F11" s="1209">
        <v>65.89</v>
      </c>
      <c r="G11" s="1209">
        <v>65.89</v>
      </c>
      <c r="H11" s="1209">
        <v>47.799481865284967</v>
      </c>
      <c r="I11" s="1209">
        <v>65.89</v>
      </c>
      <c r="J11" s="1209">
        <v>65.900000000000006</v>
      </c>
      <c r="K11" s="1268">
        <v>65.895833333333329</v>
      </c>
      <c r="L11" s="1209">
        <v>66.13</v>
      </c>
      <c r="M11" s="1240">
        <v>65.900000000000006</v>
      </c>
      <c r="N11" s="32"/>
    </row>
    <row r="12" spans="1:14" s="10" customFormat="1" ht="14.25" thickBot="1">
      <c r="A12" s="44">
        <f t="shared" si="0"/>
        <v>91</v>
      </c>
      <c r="B12" s="1241">
        <v>65.38</v>
      </c>
      <c r="C12" s="1210">
        <v>65.37</v>
      </c>
      <c r="D12" s="1210">
        <v>65.38</v>
      </c>
      <c r="E12" s="1210">
        <v>65.38</v>
      </c>
      <c r="F12" s="1210">
        <v>65.37</v>
      </c>
      <c r="G12" s="1210">
        <v>65.37</v>
      </c>
      <c r="H12" s="1210">
        <v>47.421373056994824</v>
      </c>
      <c r="I12" s="1210">
        <v>65.37</v>
      </c>
      <c r="J12" s="1210">
        <v>65.38</v>
      </c>
      <c r="K12" s="1210">
        <v>65.375</v>
      </c>
      <c r="L12" s="1210">
        <v>65.63</v>
      </c>
      <c r="M12" s="1242">
        <v>65.38</v>
      </c>
      <c r="N12" s="21"/>
    </row>
    <row r="13" spans="1:14" s="16" customFormat="1">
      <c r="A13" s="45">
        <f t="shared" si="0"/>
        <v>90</v>
      </c>
      <c r="B13" s="1243">
        <v>64.989999999999995</v>
      </c>
      <c r="C13" s="1211">
        <v>64.98</v>
      </c>
      <c r="D13" s="1211">
        <v>64.989999999999995</v>
      </c>
      <c r="E13" s="1211">
        <v>64.989999999999995</v>
      </c>
      <c r="F13" s="1211">
        <v>64.98</v>
      </c>
      <c r="G13" s="1211">
        <v>64.98</v>
      </c>
      <c r="H13" s="1211">
        <v>47.141191709844556</v>
      </c>
      <c r="I13" s="1211">
        <v>64.98</v>
      </c>
      <c r="J13" s="1211">
        <v>64.989999999999995</v>
      </c>
      <c r="K13" s="1211">
        <v>64.989583333333329</v>
      </c>
      <c r="L13" s="1211">
        <v>65.13</v>
      </c>
      <c r="M13" s="1244">
        <v>64.989999999999995</v>
      </c>
      <c r="N13" s="22"/>
    </row>
    <row r="14" spans="1:14" s="31" customFormat="1">
      <c r="A14" s="43">
        <f t="shared" si="0"/>
        <v>89</v>
      </c>
      <c r="B14" s="1239">
        <v>64.540000000000006</v>
      </c>
      <c r="C14" s="1209">
        <v>64.540000000000006</v>
      </c>
      <c r="D14" s="1209">
        <v>64.540000000000006</v>
      </c>
      <c r="E14" s="1209">
        <v>64.540000000000006</v>
      </c>
      <c r="F14" s="1209">
        <v>64.540000000000006</v>
      </c>
      <c r="G14" s="1209">
        <v>64.540000000000006</v>
      </c>
      <c r="H14" s="1209">
        <v>46.802072538860102</v>
      </c>
      <c r="I14" s="1209">
        <v>64.540000000000006</v>
      </c>
      <c r="J14" s="1209">
        <v>64.540000000000006</v>
      </c>
      <c r="K14" s="1209">
        <v>64.541666666666671</v>
      </c>
      <c r="L14" s="1209">
        <v>64.75</v>
      </c>
      <c r="M14" s="1240">
        <v>64.540000000000006</v>
      </c>
      <c r="N14" s="32"/>
    </row>
    <row r="15" spans="1:14" s="31" customFormat="1">
      <c r="A15" s="43">
        <f t="shared" si="0"/>
        <v>88</v>
      </c>
      <c r="B15" s="1239">
        <v>64.16</v>
      </c>
      <c r="C15" s="1209">
        <v>64.150000000000006</v>
      </c>
      <c r="D15" s="1209">
        <v>64.16</v>
      </c>
      <c r="E15" s="1209">
        <v>64.16</v>
      </c>
      <c r="F15" s="1209">
        <v>64.150000000000006</v>
      </c>
      <c r="G15" s="1209">
        <v>64.150000000000006</v>
      </c>
      <c r="H15" s="1209">
        <v>46.507383419689113</v>
      </c>
      <c r="I15" s="1209">
        <v>64.150000000000006</v>
      </c>
      <c r="J15" s="1209">
        <v>64.16</v>
      </c>
      <c r="K15" s="1209">
        <v>64.15625</v>
      </c>
      <c r="L15" s="1209">
        <v>64.38</v>
      </c>
      <c r="M15" s="1240">
        <v>64.16</v>
      </c>
      <c r="N15" s="32"/>
    </row>
    <row r="16" spans="1:14" s="31" customFormat="1">
      <c r="A16" s="43">
        <f t="shared" si="0"/>
        <v>87</v>
      </c>
      <c r="B16" s="1239">
        <v>63.71</v>
      </c>
      <c r="C16" s="1209">
        <v>63.7</v>
      </c>
      <c r="D16" s="1209">
        <v>63.71</v>
      </c>
      <c r="E16" s="1209">
        <v>63.71</v>
      </c>
      <c r="F16" s="1209">
        <v>63.7</v>
      </c>
      <c r="G16" s="1209">
        <v>63.7</v>
      </c>
      <c r="H16" s="1209">
        <v>46.180958549222794</v>
      </c>
      <c r="I16" s="1209">
        <v>63.7</v>
      </c>
      <c r="J16" s="1209">
        <v>63.71</v>
      </c>
      <c r="K16" s="1209">
        <v>63.708333333333336</v>
      </c>
      <c r="L16" s="1209">
        <v>63.75</v>
      </c>
      <c r="M16" s="1240">
        <v>63.71</v>
      </c>
      <c r="N16" s="32"/>
    </row>
    <row r="17" spans="1:14" s="31" customFormat="1">
      <c r="A17" s="43">
        <f t="shared" si="0"/>
        <v>86</v>
      </c>
      <c r="B17" s="1239">
        <v>63.24</v>
      </c>
      <c r="C17" s="1209">
        <v>63.23</v>
      </c>
      <c r="D17" s="1209">
        <v>63.24</v>
      </c>
      <c r="E17" s="1209">
        <v>63.24</v>
      </c>
      <c r="F17" s="1209">
        <v>63.23</v>
      </c>
      <c r="G17" s="1209">
        <v>63.23</v>
      </c>
      <c r="H17" s="1209">
        <v>45.857253886010369</v>
      </c>
      <c r="I17" s="1209">
        <v>63.23</v>
      </c>
      <c r="J17" s="1209">
        <v>63.24</v>
      </c>
      <c r="K17" s="1209">
        <v>63.239583333333336</v>
      </c>
      <c r="L17" s="1209">
        <v>63.63</v>
      </c>
      <c r="M17" s="1240">
        <v>63.24</v>
      </c>
      <c r="N17" s="32"/>
    </row>
    <row r="18" spans="1:14" s="31" customFormat="1">
      <c r="A18" s="43">
        <f t="shared" si="0"/>
        <v>85</v>
      </c>
      <c r="B18" s="1239">
        <v>62.83</v>
      </c>
      <c r="C18" s="1209">
        <v>62.83</v>
      </c>
      <c r="D18" s="1209">
        <v>62.83</v>
      </c>
      <c r="E18" s="1209">
        <v>62.83</v>
      </c>
      <c r="F18" s="1209">
        <v>62.83</v>
      </c>
      <c r="G18" s="1209">
        <v>62.83</v>
      </c>
      <c r="H18" s="1209">
        <v>45.577979274611401</v>
      </c>
      <c r="I18" s="1209">
        <v>62.83</v>
      </c>
      <c r="J18" s="1209">
        <v>62.83</v>
      </c>
      <c r="K18" s="1209">
        <v>62.833333333333336</v>
      </c>
      <c r="L18" s="1209">
        <v>63</v>
      </c>
      <c r="M18" s="1240">
        <v>62.83</v>
      </c>
      <c r="N18" s="32"/>
    </row>
    <row r="19" spans="1:14" s="31" customFormat="1">
      <c r="A19" s="43">
        <f t="shared" si="0"/>
        <v>84</v>
      </c>
      <c r="B19" s="1239">
        <v>62.39</v>
      </c>
      <c r="C19" s="1209">
        <v>62.38</v>
      </c>
      <c r="D19" s="1209">
        <v>62.39</v>
      </c>
      <c r="E19" s="1209">
        <v>62.39</v>
      </c>
      <c r="F19" s="1209">
        <v>62.38</v>
      </c>
      <c r="G19" s="1209">
        <v>62.38</v>
      </c>
      <c r="H19" s="1209">
        <v>45.253367875647669</v>
      </c>
      <c r="I19" s="1209">
        <v>62.38</v>
      </c>
      <c r="J19" s="1209">
        <v>62.39</v>
      </c>
      <c r="K19" s="1209">
        <v>62.385416666666664</v>
      </c>
      <c r="L19" s="1209">
        <v>62.63</v>
      </c>
      <c r="M19" s="1240">
        <v>62.39</v>
      </c>
      <c r="N19" s="32"/>
    </row>
    <row r="20" spans="1:14" s="31" customFormat="1">
      <c r="A20" s="43">
        <f t="shared" si="0"/>
        <v>83</v>
      </c>
      <c r="B20" s="1239">
        <v>61.94</v>
      </c>
      <c r="C20" s="1209">
        <v>61.93</v>
      </c>
      <c r="D20" s="1209">
        <v>61.94</v>
      </c>
      <c r="E20" s="1209">
        <v>61.94</v>
      </c>
      <c r="F20" s="1209">
        <v>61.93</v>
      </c>
      <c r="G20" s="1209">
        <v>61.93</v>
      </c>
      <c r="H20" s="1209">
        <v>44.928756476683937</v>
      </c>
      <c r="I20" s="1209">
        <v>61.93</v>
      </c>
      <c r="J20" s="1209">
        <v>61.94</v>
      </c>
      <c r="K20" s="1209">
        <v>61.9375</v>
      </c>
      <c r="L20" s="1209">
        <v>62</v>
      </c>
      <c r="M20" s="1240">
        <v>61.94</v>
      </c>
      <c r="N20" s="32"/>
    </row>
    <row r="21" spans="1:14" s="31" customFormat="1">
      <c r="A21" s="43">
        <f t="shared" si="0"/>
        <v>82</v>
      </c>
      <c r="B21" s="1239">
        <v>61.4</v>
      </c>
      <c r="C21" s="1209">
        <v>61.39</v>
      </c>
      <c r="D21" s="1209">
        <v>61.4</v>
      </c>
      <c r="E21" s="1209">
        <v>61.4</v>
      </c>
      <c r="F21" s="1209">
        <v>61.39</v>
      </c>
      <c r="G21" s="1209">
        <v>61.39</v>
      </c>
      <c r="H21" s="1209">
        <v>44.520725388601036</v>
      </c>
      <c r="I21" s="1209">
        <v>61.39</v>
      </c>
      <c r="J21" s="1209">
        <v>61.4</v>
      </c>
      <c r="K21" s="1209">
        <v>61.395833333333336</v>
      </c>
      <c r="L21" s="1209">
        <v>62</v>
      </c>
      <c r="M21" s="1240">
        <v>61.4</v>
      </c>
      <c r="N21" s="32"/>
    </row>
    <row r="22" spans="1:14" s="15" customFormat="1" ht="14.25" thickBot="1">
      <c r="A22" s="46">
        <f t="shared" si="0"/>
        <v>81</v>
      </c>
      <c r="B22" s="1245">
        <v>60.85</v>
      </c>
      <c r="C22" s="1212">
        <v>60.85</v>
      </c>
      <c r="D22" s="1212">
        <v>60.85</v>
      </c>
      <c r="E22" s="1212">
        <v>60.85</v>
      </c>
      <c r="F22" s="1212">
        <v>60.85</v>
      </c>
      <c r="G22" s="1212">
        <v>60.85</v>
      </c>
      <c r="H22" s="1212">
        <v>44.112694300518136</v>
      </c>
      <c r="I22" s="1212">
        <v>60.85</v>
      </c>
      <c r="J22" s="1212">
        <v>60.85</v>
      </c>
      <c r="K22" s="1269">
        <v>60.854166666666664</v>
      </c>
      <c r="L22" s="1212">
        <v>61</v>
      </c>
      <c r="M22" s="1246">
        <v>60.85</v>
      </c>
      <c r="N22" s="19"/>
    </row>
    <row r="23" spans="1:14" s="17" customFormat="1">
      <c r="A23" s="42">
        <f t="shared" si="0"/>
        <v>80</v>
      </c>
      <c r="B23" s="1237">
        <v>60.3</v>
      </c>
      <c r="C23" s="1208">
        <v>60.3</v>
      </c>
      <c r="D23" s="1208">
        <v>60.3</v>
      </c>
      <c r="E23" s="1208">
        <v>60.3</v>
      </c>
      <c r="F23" s="1208">
        <v>60.3</v>
      </c>
      <c r="G23" s="1208">
        <v>60.3</v>
      </c>
      <c r="H23" s="1208">
        <v>43.711010362694296</v>
      </c>
      <c r="I23" s="1208">
        <v>60.3</v>
      </c>
      <c r="J23" s="1208">
        <v>60.3</v>
      </c>
      <c r="K23" s="1208">
        <v>60.302083333333336</v>
      </c>
      <c r="L23" s="1208">
        <v>60.63</v>
      </c>
      <c r="M23" s="1238">
        <v>60.3</v>
      </c>
      <c r="N23" s="20"/>
    </row>
    <row r="24" spans="1:14" s="31" customFormat="1">
      <c r="A24" s="43">
        <f t="shared" si="0"/>
        <v>79</v>
      </c>
      <c r="B24" s="1239">
        <v>59.81</v>
      </c>
      <c r="C24" s="1209">
        <v>59.81</v>
      </c>
      <c r="D24" s="1209">
        <v>59.81</v>
      </c>
      <c r="E24" s="1209">
        <v>59.81</v>
      </c>
      <c r="F24" s="1209">
        <v>59.81</v>
      </c>
      <c r="G24" s="1209">
        <v>59.81</v>
      </c>
      <c r="H24" s="1209">
        <v>43.370984455958549</v>
      </c>
      <c r="I24" s="1209">
        <v>59.81</v>
      </c>
      <c r="J24" s="1209">
        <v>59.81</v>
      </c>
      <c r="K24" s="1209">
        <v>59.8125</v>
      </c>
      <c r="L24" s="1209">
        <v>60</v>
      </c>
      <c r="M24" s="1240">
        <v>59.81</v>
      </c>
      <c r="N24" s="32"/>
    </row>
    <row r="25" spans="1:14" s="31" customFormat="1">
      <c r="A25" s="43">
        <f t="shared" si="0"/>
        <v>78</v>
      </c>
      <c r="B25" s="1239">
        <v>59.26</v>
      </c>
      <c r="C25" s="1209">
        <v>59.26</v>
      </c>
      <c r="D25" s="1209">
        <v>59.26</v>
      </c>
      <c r="E25" s="1209">
        <v>59.26</v>
      </c>
      <c r="F25" s="1209">
        <v>59.26</v>
      </c>
      <c r="G25" s="1209">
        <v>59.26</v>
      </c>
      <c r="H25" s="1209">
        <v>42.986528497409324</v>
      </c>
      <c r="I25" s="1209">
        <v>59.26</v>
      </c>
      <c r="J25" s="1209">
        <v>59.26</v>
      </c>
      <c r="K25" s="1209">
        <v>59.260416666666664</v>
      </c>
      <c r="L25" s="1209">
        <v>59.25</v>
      </c>
      <c r="M25" s="1240">
        <v>59.26</v>
      </c>
      <c r="N25" s="32"/>
    </row>
    <row r="26" spans="1:14" s="31" customFormat="1">
      <c r="A26" s="43">
        <f t="shared" si="0"/>
        <v>77</v>
      </c>
      <c r="B26" s="1239">
        <v>58.79</v>
      </c>
      <c r="C26" s="1209">
        <v>58.79</v>
      </c>
      <c r="D26" s="1209">
        <v>58.79</v>
      </c>
      <c r="E26" s="1209">
        <v>58.79</v>
      </c>
      <c r="F26" s="1209">
        <v>58.79</v>
      </c>
      <c r="G26" s="1209">
        <v>58.79</v>
      </c>
      <c r="H26" s="1209">
        <v>42.645595854922277</v>
      </c>
      <c r="I26" s="1209">
        <v>58.79</v>
      </c>
      <c r="J26" s="1209">
        <v>58.79</v>
      </c>
      <c r="K26" s="1209">
        <v>58.791666666666664</v>
      </c>
      <c r="L26" s="1209">
        <v>59</v>
      </c>
      <c r="M26" s="1240">
        <v>58.79</v>
      </c>
      <c r="N26" s="32"/>
    </row>
    <row r="27" spans="1:14" s="31" customFormat="1">
      <c r="A27" s="43">
        <f t="shared" si="0"/>
        <v>76</v>
      </c>
      <c r="B27" s="1239">
        <v>58.39</v>
      </c>
      <c r="C27" s="1209">
        <v>58.38</v>
      </c>
      <c r="D27" s="1209">
        <v>58.39</v>
      </c>
      <c r="E27" s="1209">
        <v>58.39</v>
      </c>
      <c r="F27" s="1209">
        <v>58.38</v>
      </c>
      <c r="G27" s="1209">
        <v>58.38</v>
      </c>
      <c r="H27" s="1209">
        <v>42.350906735751295</v>
      </c>
      <c r="I27" s="1209">
        <v>58.38</v>
      </c>
      <c r="J27" s="1209">
        <v>58.39</v>
      </c>
      <c r="K27" s="1209">
        <v>58.385416666666664</v>
      </c>
      <c r="L27" s="1209">
        <v>58.63</v>
      </c>
      <c r="M27" s="1240">
        <v>58.39</v>
      </c>
      <c r="N27" s="32"/>
    </row>
    <row r="28" spans="1:14" s="31" customFormat="1">
      <c r="A28" s="43">
        <f t="shared" si="0"/>
        <v>75</v>
      </c>
      <c r="B28" s="1239">
        <v>57.94</v>
      </c>
      <c r="C28" s="1209">
        <v>57.93</v>
      </c>
      <c r="D28" s="1209">
        <v>57.94</v>
      </c>
      <c r="E28" s="1209">
        <v>57.94</v>
      </c>
      <c r="F28" s="1209">
        <v>57.93</v>
      </c>
      <c r="G28" s="1209">
        <v>57.93</v>
      </c>
      <c r="H28" s="1209">
        <v>42.02629533678757</v>
      </c>
      <c r="I28" s="1209">
        <v>57.93</v>
      </c>
      <c r="J28" s="1209">
        <v>57.94</v>
      </c>
      <c r="K28" s="1209">
        <v>57.9375</v>
      </c>
      <c r="L28" s="1209">
        <v>58.25</v>
      </c>
      <c r="M28" s="1240">
        <v>57.94</v>
      </c>
      <c r="N28" s="32"/>
    </row>
    <row r="29" spans="1:14" s="31" customFormat="1">
      <c r="A29" s="43">
        <f t="shared" si="0"/>
        <v>74</v>
      </c>
      <c r="B29" s="1239">
        <v>57.39</v>
      </c>
      <c r="C29" s="1209">
        <v>57.38</v>
      </c>
      <c r="D29" s="1209">
        <v>57.39</v>
      </c>
      <c r="E29" s="1209">
        <v>57.39</v>
      </c>
      <c r="F29" s="1209">
        <v>57.38</v>
      </c>
      <c r="G29" s="1209">
        <v>57.38</v>
      </c>
      <c r="H29" s="1209">
        <v>41.626424870466323</v>
      </c>
      <c r="I29" s="1209">
        <v>57.38</v>
      </c>
      <c r="J29" s="1209">
        <v>57.39</v>
      </c>
      <c r="K29" s="1209">
        <v>57.385416666666664</v>
      </c>
      <c r="L29" s="1209">
        <v>57.75</v>
      </c>
      <c r="M29" s="1240">
        <v>57.39</v>
      </c>
      <c r="N29" s="32"/>
    </row>
    <row r="30" spans="1:14" s="31" customFormat="1">
      <c r="A30" s="43">
        <f t="shared" si="0"/>
        <v>73</v>
      </c>
      <c r="B30" s="1239">
        <v>56.88</v>
      </c>
      <c r="C30" s="1209">
        <v>56.87</v>
      </c>
      <c r="D30" s="1209">
        <v>56.88</v>
      </c>
      <c r="E30" s="1209">
        <v>56.88</v>
      </c>
      <c r="F30" s="1209">
        <v>56.87</v>
      </c>
      <c r="G30" s="1209">
        <v>56.87</v>
      </c>
      <c r="H30" s="1209">
        <v>41.256476683937827</v>
      </c>
      <c r="I30" s="1209">
        <v>56.87</v>
      </c>
      <c r="J30" s="1209">
        <v>56.88</v>
      </c>
      <c r="K30" s="1209">
        <v>56.875</v>
      </c>
      <c r="L30" s="1209">
        <v>57</v>
      </c>
      <c r="M30" s="1240">
        <v>56.88</v>
      </c>
      <c r="N30" s="32"/>
    </row>
    <row r="31" spans="1:14" s="31" customFormat="1">
      <c r="A31" s="43">
        <f t="shared" si="0"/>
        <v>72</v>
      </c>
      <c r="B31" s="1239">
        <v>56.45</v>
      </c>
      <c r="C31" s="1209">
        <v>56.44</v>
      </c>
      <c r="D31" s="1209">
        <v>56.45</v>
      </c>
      <c r="E31" s="1209">
        <v>56.45</v>
      </c>
      <c r="F31" s="1209">
        <v>56.44</v>
      </c>
      <c r="G31" s="1209">
        <v>56.44</v>
      </c>
      <c r="H31" s="1209">
        <v>40.945466321243522</v>
      </c>
      <c r="I31" s="1209">
        <v>56.44</v>
      </c>
      <c r="J31" s="1209">
        <v>56.45</v>
      </c>
      <c r="K31" s="1209">
        <v>56.447916666666664</v>
      </c>
      <c r="L31" s="1209">
        <v>56.75</v>
      </c>
      <c r="M31" s="1240">
        <v>56.45</v>
      </c>
      <c r="N31" s="32"/>
    </row>
    <row r="32" spans="1:14" s="10" customFormat="1" ht="14.25" thickBot="1">
      <c r="A32" s="44">
        <f t="shared" si="0"/>
        <v>71</v>
      </c>
      <c r="B32" s="1241">
        <v>56.04</v>
      </c>
      <c r="C32" s="1210">
        <v>56.04</v>
      </c>
      <c r="D32" s="1210">
        <v>56.04</v>
      </c>
      <c r="E32" s="1210">
        <v>56.04</v>
      </c>
      <c r="F32" s="1210">
        <v>56.04</v>
      </c>
      <c r="G32" s="1210">
        <v>56.04</v>
      </c>
      <c r="H32" s="1210">
        <v>40.65077720207254</v>
      </c>
      <c r="I32" s="1210">
        <v>56.04</v>
      </c>
      <c r="J32" s="1210">
        <v>56.04</v>
      </c>
      <c r="K32" s="1210">
        <v>56.041666666666664</v>
      </c>
      <c r="L32" s="1210">
        <v>56.25</v>
      </c>
      <c r="M32" s="1242">
        <v>56.04</v>
      </c>
      <c r="N32" s="21"/>
    </row>
    <row r="33" spans="1:14" s="16" customFormat="1">
      <c r="A33" s="45">
        <f t="shared" si="0"/>
        <v>70</v>
      </c>
      <c r="B33" s="1243">
        <v>55.68</v>
      </c>
      <c r="C33" s="1211">
        <v>55.67</v>
      </c>
      <c r="D33" s="1211">
        <v>55.68</v>
      </c>
      <c r="E33" s="1211">
        <v>55.68</v>
      </c>
      <c r="F33" s="1211">
        <v>55.67</v>
      </c>
      <c r="G33" s="1211">
        <v>55.67</v>
      </c>
      <c r="H33" s="1211">
        <v>40.3860103626943</v>
      </c>
      <c r="I33" s="1211">
        <v>55.67</v>
      </c>
      <c r="J33" s="1211">
        <v>55.68</v>
      </c>
      <c r="K33" s="1211">
        <v>55.677083333333336</v>
      </c>
      <c r="L33" s="1211">
        <v>55.75</v>
      </c>
      <c r="M33" s="1244">
        <v>55.68</v>
      </c>
      <c r="N33" s="22"/>
    </row>
    <row r="34" spans="1:14" s="31" customFormat="1">
      <c r="A34" s="43">
        <f t="shared" si="0"/>
        <v>69</v>
      </c>
      <c r="B34" s="1239">
        <v>55.23</v>
      </c>
      <c r="C34" s="1209">
        <v>55.22</v>
      </c>
      <c r="D34" s="1209">
        <v>55.23</v>
      </c>
      <c r="E34" s="1209">
        <v>55.23</v>
      </c>
      <c r="F34" s="1209">
        <v>55.22</v>
      </c>
      <c r="G34" s="1209">
        <v>55.22</v>
      </c>
      <c r="H34" s="1209">
        <v>40.061398963730568</v>
      </c>
      <c r="I34" s="1209">
        <v>55.22</v>
      </c>
      <c r="J34" s="1209">
        <v>55.23</v>
      </c>
      <c r="K34" s="1209">
        <v>55.229166666666664</v>
      </c>
      <c r="L34" s="1209">
        <v>55.38</v>
      </c>
      <c r="M34" s="1240">
        <v>55.23</v>
      </c>
      <c r="N34" s="32"/>
    </row>
    <row r="35" spans="1:14" s="31" customFormat="1">
      <c r="A35" s="43">
        <f t="shared" si="0"/>
        <v>68</v>
      </c>
      <c r="B35" s="1239">
        <v>54.77</v>
      </c>
      <c r="C35" s="1209">
        <v>54.77</v>
      </c>
      <c r="D35" s="1209">
        <v>54.77</v>
      </c>
      <c r="E35" s="1209">
        <v>54.77</v>
      </c>
      <c r="F35" s="1209">
        <v>54.77</v>
      </c>
      <c r="G35" s="1209">
        <v>54.77</v>
      </c>
      <c r="H35" s="1209">
        <v>39.728626943005182</v>
      </c>
      <c r="I35" s="1209">
        <v>54.77</v>
      </c>
      <c r="J35" s="1209">
        <v>54.77</v>
      </c>
      <c r="K35" s="1209">
        <v>54.770833333333336</v>
      </c>
      <c r="L35" s="1209">
        <v>54.88</v>
      </c>
      <c r="M35" s="1240">
        <v>54.77</v>
      </c>
      <c r="N35" s="32"/>
    </row>
    <row r="36" spans="1:14" s="31" customFormat="1">
      <c r="A36" s="43">
        <f t="shared" si="0"/>
        <v>67</v>
      </c>
      <c r="B36" s="1239">
        <v>54.35</v>
      </c>
      <c r="C36" s="1209">
        <v>54.35</v>
      </c>
      <c r="D36" s="1209">
        <v>54.35</v>
      </c>
      <c r="E36" s="1209">
        <v>54.35</v>
      </c>
      <c r="F36" s="1209">
        <v>54.35</v>
      </c>
      <c r="G36" s="1209">
        <v>54.35</v>
      </c>
      <c r="H36" s="1209">
        <v>39.426683937823832</v>
      </c>
      <c r="I36" s="1209">
        <v>54.35</v>
      </c>
      <c r="J36" s="1209">
        <v>54.35</v>
      </c>
      <c r="K36" s="1209">
        <v>54.354166666666664</v>
      </c>
      <c r="L36" s="1209">
        <v>54.75</v>
      </c>
      <c r="M36" s="1240">
        <v>54.35</v>
      </c>
      <c r="N36" s="32"/>
    </row>
    <row r="37" spans="1:14" s="31" customFormat="1">
      <c r="A37" s="43">
        <f t="shared" si="0"/>
        <v>66</v>
      </c>
      <c r="B37" s="1239">
        <v>53.94</v>
      </c>
      <c r="C37" s="1209">
        <v>53.93</v>
      </c>
      <c r="D37" s="1209">
        <v>53.94</v>
      </c>
      <c r="E37" s="1209">
        <v>53.94</v>
      </c>
      <c r="F37" s="1209">
        <v>53.93</v>
      </c>
      <c r="G37" s="1209">
        <v>53.93</v>
      </c>
      <c r="H37" s="1209">
        <v>39.124740932642489</v>
      </c>
      <c r="I37" s="1209">
        <v>53.93</v>
      </c>
      <c r="J37" s="1209">
        <v>53.94</v>
      </c>
      <c r="K37" s="1209">
        <v>53.9375</v>
      </c>
      <c r="L37" s="1209">
        <v>54.13</v>
      </c>
      <c r="M37" s="1240">
        <v>53.94</v>
      </c>
      <c r="N37" s="32"/>
    </row>
    <row r="38" spans="1:14" s="31" customFormat="1">
      <c r="A38" s="43">
        <f t="shared" si="0"/>
        <v>65</v>
      </c>
      <c r="B38" s="1239">
        <v>53.46</v>
      </c>
      <c r="C38" s="1209">
        <v>53.45</v>
      </c>
      <c r="D38" s="1209">
        <v>53.46</v>
      </c>
      <c r="E38" s="1209">
        <v>53.46</v>
      </c>
      <c r="F38" s="1209">
        <v>53.45</v>
      </c>
      <c r="G38" s="1209">
        <v>53.45</v>
      </c>
      <c r="H38" s="1209">
        <v>38.776554404145074</v>
      </c>
      <c r="I38" s="1209">
        <v>53.45</v>
      </c>
      <c r="J38" s="1209">
        <v>53.46</v>
      </c>
      <c r="K38" s="1209">
        <v>53.458333333333336</v>
      </c>
      <c r="L38" s="1209">
        <v>53.75</v>
      </c>
      <c r="M38" s="1240">
        <v>53.46</v>
      </c>
      <c r="N38" s="32"/>
    </row>
    <row r="39" spans="1:14" s="31" customFormat="1">
      <c r="A39" s="43">
        <f t="shared" si="0"/>
        <v>64</v>
      </c>
      <c r="B39" s="1239">
        <v>53.02</v>
      </c>
      <c r="C39" s="1209">
        <v>53.02</v>
      </c>
      <c r="D39" s="1209">
        <v>53.02</v>
      </c>
      <c r="E39" s="1209">
        <v>53.02</v>
      </c>
      <c r="F39" s="1209">
        <v>53.02</v>
      </c>
      <c r="G39" s="1209">
        <v>53.02</v>
      </c>
      <c r="H39" s="1209">
        <v>38.46010362694301</v>
      </c>
      <c r="I39" s="1209">
        <v>53.02</v>
      </c>
      <c r="J39" s="1209">
        <v>53.02</v>
      </c>
      <c r="K39" s="1209">
        <v>53.020833333333336</v>
      </c>
      <c r="L39" s="1209">
        <v>53.13</v>
      </c>
      <c r="M39" s="1240">
        <v>53.02</v>
      </c>
      <c r="N39" s="32"/>
    </row>
    <row r="40" spans="1:14" s="31" customFormat="1">
      <c r="A40" s="43">
        <f t="shared" si="0"/>
        <v>63</v>
      </c>
      <c r="B40" s="1239">
        <v>52.59</v>
      </c>
      <c r="C40" s="1209">
        <v>52.59</v>
      </c>
      <c r="D40" s="1209">
        <v>52.59</v>
      </c>
      <c r="E40" s="1209">
        <v>52.59</v>
      </c>
      <c r="F40" s="1209">
        <v>52.59</v>
      </c>
      <c r="G40" s="1209">
        <v>52.59</v>
      </c>
      <c r="H40" s="1209">
        <v>38.150906735751299</v>
      </c>
      <c r="I40" s="1209">
        <v>52.59</v>
      </c>
      <c r="J40" s="1209">
        <v>52.59</v>
      </c>
      <c r="K40" s="1209">
        <v>52.59375</v>
      </c>
      <c r="L40" s="1209">
        <v>52.75</v>
      </c>
      <c r="M40" s="1240">
        <v>52.59</v>
      </c>
      <c r="N40" s="32"/>
    </row>
    <row r="41" spans="1:14" s="31" customFormat="1">
      <c r="A41" s="43">
        <f t="shared" si="0"/>
        <v>62</v>
      </c>
      <c r="B41" s="1239">
        <v>52.21</v>
      </c>
      <c r="C41" s="1209">
        <v>52.2</v>
      </c>
      <c r="D41" s="1209">
        <v>52.21</v>
      </c>
      <c r="E41" s="1209">
        <v>52.21</v>
      </c>
      <c r="F41" s="1209">
        <v>52.2</v>
      </c>
      <c r="G41" s="1209">
        <v>52.2</v>
      </c>
      <c r="H41" s="1209">
        <v>37.868911917098444</v>
      </c>
      <c r="I41" s="1209">
        <v>52.2</v>
      </c>
      <c r="J41" s="1209">
        <v>52.21</v>
      </c>
      <c r="K41" s="1209">
        <v>52.208333333333329</v>
      </c>
      <c r="L41" s="1209">
        <v>52.38</v>
      </c>
      <c r="M41" s="1240">
        <v>52.21</v>
      </c>
      <c r="N41" s="32"/>
    </row>
    <row r="42" spans="1:14" s="15" customFormat="1" ht="14.25" thickBot="1">
      <c r="A42" s="46">
        <f t="shared" si="0"/>
        <v>61</v>
      </c>
      <c r="B42" s="1245">
        <v>51.85</v>
      </c>
      <c r="C42" s="1212">
        <v>51.85</v>
      </c>
      <c r="D42" s="1212">
        <v>51.85</v>
      </c>
      <c r="E42" s="1212">
        <v>51.85</v>
      </c>
      <c r="F42" s="1212">
        <v>51.85</v>
      </c>
      <c r="G42" s="1212">
        <v>51.85</v>
      </c>
      <c r="H42" s="1212">
        <v>37.613212435233159</v>
      </c>
      <c r="I42" s="1212">
        <v>51.85</v>
      </c>
      <c r="J42" s="1212">
        <v>51.85</v>
      </c>
      <c r="K42" s="1212">
        <v>51.854166666666671</v>
      </c>
      <c r="L42" s="1212">
        <v>52</v>
      </c>
      <c r="M42" s="1246">
        <v>51.85</v>
      </c>
      <c r="N42" s="19"/>
    </row>
    <row r="43" spans="1:14" s="17" customFormat="1">
      <c r="A43" s="42">
        <f t="shared" si="0"/>
        <v>60</v>
      </c>
      <c r="B43" s="1237">
        <v>51.5</v>
      </c>
      <c r="C43" s="1208">
        <v>51.5</v>
      </c>
      <c r="D43" s="1208">
        <v>51.5</v>
      </c>
      <c r="E43" s="1208">
        <v>51.5</v>
      </c>
      <c r="F43" s="1208">
        <v>51.5</v>
      </c>
      <c r="G43" s="1208">
        <v>51.5</v>
      </c>
      <c r="H43" s="1208">
        <v>37.21</v>
      </c>
      <c r="I43" s="1208">
        <v>51.5</v>
      </c>
      <c r="J43" s="1208">
        <v>51.5</v>
      </c>
      <c r="K43" s="1208">
        <v>51.5</v>
      </c>
      <c r="L43" s="1208">
        <v>51.5</v>
      </c>
      <c r="M43" s="1238">
        <v>51.5</v>
      </c>
      <c r="N43" s="20"/>
    </row>
    <row r="44" spans="1:14" s="31" customFormat="1">
      <c r="A44" s="43">
        <f t="shared" si="0"/>
        <v>59</v>
      </c>
      <c r="B44" s="1239">
        <v>51.12</v>
      </c>
      <c r="C44" s="1209">
        <v>51.11</v>
      </c>
      <c r="D44" s="1209">
        <v>51.11</v>
      </c>
      <c r="E44" s="1209">
        <v>51.11</v>
      </c>
      <c r="F44" s="1209">
        <v>51.11</v>
      </c>
      <c r="G44" s="1209">
        <v>51.11</v>
      </c>
      <c r="H44" s="1209">
        <v>36.81</v>
      </c>
      <c r="I44" s="1209">
        <v>51.11</v>
      </c>
      <c r="J44" s="1209">
        <v>51.12</v>
      </c>
      <c r="K44" s="1209">
        <v>51.114583333333336</v>
      </c>
      <c r="L44" s="1209">
        <v>51.38</v>
      </c>
      <c r="M44" s="1240">
        <v>51.11</v>
      </c>
      <c r="N44" s="32"/>
    </row>
    <row r="45" spans="1:14" s="31" customFormat="1">
      <c r="A45" s="43">
        <f t="shared" si="0"/>
        <v>58</v>
      </c>
      <c r="B45" s="1239">
        <v>50.76</v>
      </c>
      <c r="C45" s="1209">
        <v>50.76</v>
      </c>
      <c r="D45" s="1209">
        <v>50.76</v>
      </c>
      <c r="E45" s="1209">
        <v>50.76</v>
      </c>
      <c r="F45" s="1209">
        <v>50.76</v>
      </c>
      <c r="G45" s="1209">
        <v>50.76</v>
      </c>
      <c r="H45" s="1209">
        <v>36.409999999999997</v>
      </c>
      <c r="I45" s="1209">
        <v>50.76</v>
      </c>
      <c r="J45" s="1209">
        <v>50.76</v>
      </c>
      <c r="K45" s="1209">
        <v>50.760416666666664</v>
      </c>
      <c r="L45" s="1209">
        <v>51</v>
      </c>
      <c r="M45" s="1240">
        <v>50.76</v>
      </c>
      <c r="N45" s="32"/>
    </row>
    <row r="46" spans="1:14" s="31" customFormat="1">
      <c r="A46" s="43">
        <f t="shared" si="0"/>
        <v>57</v>
      </c>
      <c r="B46" s="1239">
        <v>50.47</v>
      </c>
      <c r="C46" s="1209">
        <v>50.46</v>
      </c>
      <c r="D46" s="1209">
        <v>50.47</v>
      </c>
      <c r="E46" s="1209">
        <v>50.47</v>
      </c>
      <c r="F46" s="1209">
        <v>50.46</v>
      </c>
      <c r="G46" s="1209">
        <v>50.46</v>
      </c>
      <c r="H46" s="1209">
        <v>36.01</v>
      </c>
      <c r="I46" s="1209">
        <v>50.46</v>
      </c>
      <c r="J46" s="1209">
        <v>50.47</v>
      </c>
      <c r="K46" s="1209">
        <v>50.46875</v>
      </c>
      <c r="L46" s="1209">
        <v>50.75</v>
      </c>
      <c r="M46" s="1240">
        <v>50.47</v>
      </c>
      <c r="N46" s="32"/>
    </row>
    <row r="47" spans="1:14" s="31" customFormat="1">
      <c r="A47" s="43">
        <f t="shared" si="0"/>
        <v>56</v>
      </c>
      <c r="B47" s="1239">
        <v>50.16</v>
      </c>
      <c r="C47" s="1209">
        <v>50.15</v>
      </c>
      <c r="D47" s="1209">
        <v>50.16</v>
      </c>
      <c r="E47" s="1209">
        <v>50.16</v>
      </c>
      <c r="F47" s="1209">
        <v>50.15</v>
      </c>
      <c r="G47" s="1209">
        <v>50.15</v>
      </c>
      <c r="H47" s="1209">
        <v>35.61</v>
      </c>
      <c r="I47" s="1209">
        <v>50.15</v>
      </c>
      <c r="J47" s="1209">
        <v>50.16</v>
      </c>
      <c r="K47" s="1209">
        <v>50.15625</v>
      </c>
      <c r="L47" s="1209">
        <v>50.13</v>
      </c>
      <c r="M47" s="1240">
        <v>50.16</v>
      </c>
      <c r="N47" s="32"/>
    </row>
    <row r="48" spans="1:14" s="31" customFormat="1">
      <c r="A48" s="43">
        <f t="shared" si="0"/>
        <v>55</v>
      </c>
      <c r="B48" s="1239">
        <v>49.82</v>
      </c>
      <c r="C48" s="1209">
        <v>49.82</v>
      </c>
      <c r="D48" s="1209">
        <v>49.82</v>
      </c>
      <c r="E48" s="1209">
        <v>49.82</v>
      </c>
      <c r="F48" s="1209">
        <v>49.82</v>
      </c>
      <c r="G48" s="1209">
        <v>49.82</v>
      </c>
      <c r="H48" s="1209">
        <v>35.21</v>
      </c>
      <c r="I48" s="1209">
        <v>49.82</v>
      </c>
      <c r="J48" s="1209">
        <v>49.82</v>
      </c>
      <c r="K48" s="1209">
        <v>49.822916666666664</v>
      </c>
      <c r="L48" s="1209">
        <v>50</v>
      </c>
      <c r="M48" s="1240">
        <v>49.82</v>
      </c>
      <c r="N48" s="32"/>
    </row>
    <row r="49" spans="1:14" s="31" customFormat="1">
      <c r="A49" s="43">
        <f t="shared" si="0"/>
        <v>54</v>
      </c>
      <c r="B49" s="1239">
        <v>49.48</v>
      </c>
      <c r="C49" s="1209">
        <v>49.47</v>
      </c>
      <c r="D49" s="1209">
        <v>49.48</v>
      </c>
      <c r="E49" s="1209">
        <v>49.48</v>
      </c>
      <c r="F49" s="1209">
        <v>49.47</v>
      </c>
      <c r="G49" s="1209">
        <v>49.47</v>
      </c>
      <c r="H49" s="1209">
        <v>34.81</v>
      </c>
      <c r="I49" s="1209">
        <v>49.47</v>
      </c>
      <c r="J49" s="1209">
        <v>49.48</v>
      </c>
      <c r="K49" s="1209">
        <v>49.479166666666664</v>
      </c>
      <c r="L49" s="1209">
        <v>49.63</v>
      </c>
      <c r="M49" s="1240">
        <v>49.48</v>
      </c>
      <c r="N49" s="32"/>
    </row>
    <row r="50" spans="1:14" s="31" customFormat="1">
      <c r="A50" s="43">
        <f t="shared" si="0"/>
        <v>53</v>
      </c>
      <c r="B50" s="1239">
        <v>49.14</v>
      </c>
      <c r="C50" s="1209">
        <v>49.13</v>
      </c>
      <c r="D50" s="1209">
        <v>49.14</v>
      </c>
      <c r="E50" s="1209">
        <v>49.14</v>
      </c>
      <c r="F50" s="1209">
        <v>49.13</v>
      </c>
      <c r="G50" s="1209">
        <v>49.13</v>
      </c>
      <c r="H50" s="1209">
        <v>34.409999999999997</v>
      </c>
      <c r="I50" s="1209">
        <v>49.13</v>
      </c>
      <c r="J50" s="1209">
        <v>49.14</v>
      </c>
      <c r="K50" s="1209">
        <v>49.135416666666664</v>
      </c>
      <c r="L50" s="1209">
        <v>49.25</v>
      </c>
      <c r="M50" s="1240">
        <v>49.14</v>
      </c>
      <c r="N50" s="32"/>
    </row>
    <row r="51" spans="1:14" s="31" customFormat="1">
      <c r="A51" s="43">
        <f t="shared" si="0"/>
        <v>52</v>
      </c>
      <c r="B51" s="1239">
        <v>48.87</v>
      </c>
      <c r="C51" s="1209">
        <v>48.86</v>
      </c>
      <c r="D51" s="1209">
        <v>48.86</v>
      </c>
      <c r="E51" s="1209">
        <v>48.86</v>
      </c>
      <c r="F51" s="1209">
        <v>48.86</v>
      </c>
      <c r="G51" s="1209">
        <v>48.86</v>
      </c>
      <c r="H51" s="1209">
        <v>34.01</v>
      </c>
      <c r="I51" s="1209">
        <v>48.86</v>
      </c>
      <c r="J51" s="1209">
        <v>48.87</v>
      </c>
      <c r="K51" s="1209">
        <v>48.864583333333336</v>
      </c>
      <c r="L51" s="1209">
        <v>49.13</v>
      </c>
      <c r="M51" s="1240">
        <v>48.86</v>
      </c>
      <c r="N51" s="32"/>
    </row>
    <row r="52" spans="1:14" s="10" customFormat="1" ht="14.25" thickBot="1">
      <c r="A52" s="44">
        <f t="shared" si="0"/>
        <v>51</v>
      </c>
      <c r="B52" s="1241">
        <v>48.57</v>
      </c>
      <c r="C52" s="1210">
        <v>48.57</v>
      </c>
      <c r="D52" s="1210">
        <v>48.57</v>
      </c>
      <c r="E52" s="1210">
        <v>48.57</v>
      </c>
      <c r="F52" s="1210">
        <v>48.57</v>
      </c>
      <c r="G52" s="1210">
        <v>48.57</v>
      </c>
      <c r="H52" s="1210">
        <v>33.61</v>
      </c>
      <c r="I52" s="1210">
        <v>48.57</v>
      </c>
      <c r="J52" s="1210">
        <v>48.57</v>
      </c>
      <c r="K52" s="1210">
        <v>48.572916666666664</v>
      </c>
      <c r="L52" s="1210">
        <v>48.63</v>
      </c>
      <c r="M52" s="1242">
        <v>48.57</v>
      </c>
      <c r="N52" s="21"/>
    </row>
    <row r="53" spans="1:14" s="16" customFormat="1">
      <c r="A53" s="45">
        <f t="shared" si="0"/>
        <v>50</v>
      </c>
      <c r="B53" s="1243">
        <v>48.26</v>
      </c>
      <c r="C53" s="1211">
        <v>48.25</v>
      </c>
      <c r="D53" s="1211">
        <v>48.26</v>
      </c>
      <c r="E53" s="1211">
        <v>48.26</v>
      </c>
      <c r="F53" s="1211">
        <v>48.25</v>
      </c>
      <c r="G53" s="1211">
        <v>48.25</v>
      </c>
      <c r="H53" s="1211">
        <v>33.21</v>
      </c>
      <c r="I53" s="1211">
        <v>48.25</v>
      </c>
      <c r="J53" s="1211">
        <v>48.26</v>
      </c>
      <c r="K53" s="1211">
        <v>48.256250000000001</v>
      </c>
      <c r="L53" s="1211">
        <v>48.25</v>
      </c>
      <c r="M53" s="1244">
        <v>48.26</v>
      </c>
      <c r="N53" s="22"/>
    </row>
    <row r="54" spans="1:14" s="31" customFormat="1">
      <c r="A54" s="43">
        <f t="shared" si="0"/>
        <v>49</v>
      </c>
      <c r="B54" s="1239">
        <v>47.94</v>
      </c>
      <c r="C54" s="1209">
        <v>47.93</v>
      </c>
      <c r="D54" s="1209">
        <v>47.94</v>
      </c>
      <c r="E54" s="1209">
        <v>47.94</v>
      </c>
      <c r="F54" s="1209">
        <v>47.93</v>
      </c>
      <c r="G54" s="1209">
        <v>47.93</v>
      </c>
      <c r="H54" s="1209">
        <v>32.81</v>
      </c>
      <c r="I54" s="1209">
        <v>47.93</v>
      </c>
      <c r="J54" s="1209">
        <v>47.94</v>
      </c>
      <c r="K54" s="1209">
        <v>47.939583333333331</v>
      </c>
      <c r="L54" s="1209">
        <v>48.13</v>
      </c>
      <c r="M54" s="1240">
        <v>47.94</v>
      </c>
      <c r="N54" s="32"/>
    </row>
    <row r="55" spans="1:14" s="31" customFormat="1">
      <c r="A55" s="43">
        <f t="shared" si="0"/>
        <v>48</v>
      </c>
      <c r="B55" s="1239">
        <v>47.63</v>
      </c>
      <c r="C55" s="1209">
        <v>47.63</v>
      </c>
      <c r="D55" s="1209">
        <v>47.63</v>
      </c>
      <c r="E55" s="1209">
        <v>47.63</v>
      </c>
      <c r="F55" s="1209">
        <v>47.63</v>
      </c>
      <c r="G55" s="1209">
        <v>47.63</v>
      </c>
      <c r="H55" s="1209">
        <v>32.409999999999997</v>
      </c>
      <c r="I55" s="1209">
        <v>47.63</v>
      </c>
      <c r="J55" s="1209">
        <v>47.63</v>
      </c>
      <c r="K55" s="1209">
        <v>47.633333333333333</v>
      </c>
      <c r="L55" s="1209">
        <v>47.88</v>
      </c>
      <c r="M55" s="1240">
        <v>47.63</v>
      </c>
      <c r="N55" s="32"/>
    </row>
    <row r="56" spans="1:14" s="31" customFormat="1">
      <c r="A56" s="43">
        <f t="shared" si="0"/>
        <v>47</v>
      </c>
      <c r="B56" s="1239">
        <v>47.35</v>
      </c>
      <c r="C56" s="1209">
        <v>47.34</v>
      </c>
      <c r="D56" s="1209">
        <v>47.35</v>
      </c>
      <c r="E56" s="1209">
        <v>47.35</v>
      </c>
      <c r="F56" s="1209">
        <v>47.34</v>
      </c>
      <c r="G56" s="1209">
        <v>47.34</v>
      </c>
      <c r="H56" s="1209">
        <v>32.01</v>
      </c>
      <c r="I56" s="1209">
        <v>47.34</v>
      </c>
      <c r="J56" s="1209">
        <v>47.35</v>
      </c>
      <c r="K56" s="1209">
        <v>47.34791666666667</v>
      </c>
      <c r="L56" s="1209">
        <v>47.5</v>
      </c>
      <c r="M56" s="1240">
        <v>47.35</v>
      </c>
      <c r="N56" s="32"/>
    </row>
    <row r="57" spans="1:14" s="31" customFormat="1">
      <c r="A57" s="43">
        <f t="shared" si="0"/>
        <v>46</v>
      </c>
      <c r="B57" s="1239">
        <v>47.09</v>
      </c>
      <c r="C57" s="1209">
        <v>47.08</v>
      </c>
      <c r="D57" s="1209">
        <v>47.09</v>
      </c>
      <c r="E57" s="1209">
        <v>47.09</v>
      </c>
      <c r="F57" s="1209">
        <v>47.08</v>
      </c>
      <c r="G57" s="1209">
        <v>47.08</v>
      </c>
      <c r="H57" s="1209">
        <v>31.61</v>
      </c>
      <c r="I57" s="1209">
        <v>47.08</v>
      </c>
      <c r="J57" s="1209">
        <v>47.09</v>
      </c>
      <c r="K57" s="1209">
        <v>47.086309523809526</v>
      </c>
      <c r="L57" s="1209">
        <v>47.25</v>
      </c>
      <c r="M57" s="1240">
        <v>47.09</v>
      </c>
      <c r="N57" s="32"/>
    </row>
    <row r="58" spans="1:14" s="31" customFormat="1">
      <c r="A58" s="43">
        <f t="shared" si="0"/>
        <v>45</v>
      </c>
      <c r="B58" s="1239">
        <v>46.82</v>
      </c>
      <c r="C58" s="1209">
        <v>46.81</v>
      </c>
      <c r="D58" s="1209">
        <v>46.82</v>
      </c>
      <c r="E58" s="1209">
        <v>46.82</v>
      </c>
      <c r="F58" s="1209">
        <v>46.81</v>
      </c>
      <c r="G58" s="1209">
        <v>46.81</v>
      </c>
      <c r="H58" s="1209">
        <v>31.21</v>
      </c>
      <c r="I58" s="1209">
        <v>46.81</v>
      </c>
      <c r="J58" s="1209">
        <v>46.82</v>
      </c>
      <c r="K58" s="1209">
        <v>46.81845238095238</v>
      </c>
      <c r="L58" s="1209">
        <v>47</v>
      </c>
      <c r="M58" s="1240">
        <v>46.82</v>
      </c>
      <c r="N58" s="32"/>
    </row>
    <row r="59" spans="1:14" s="31" customFormat="1">
      <c r="A59" s="43">
        <f t="shared" si="0"/>
        <v>44</v>
      </c>
      <c r="B59" s="1239">
        <v>46.53</v>
      </c>
      <c r="C59" s="1209">
        <v>46.52</v>
      </c>
      <c r="D59" s="1209">
        <v>46.53</v>
      </c>
      <c r="E59" s="1209">
        <v>46.53</v>
      </c>
      <c r="F59" s="1209">
        <v>46.52</v>
      </c>
      <c r="G59" s="1209">
        <v>46.52</v>
      </c>
      <c r="H59" s="1209">
        <v>30.81</v>
      </c>
      <c r="I59" s="1209">
        <v>46.52</v>
      </c>
      <c r="J59" s="1209">
        <v>46.53</v>
      </c>
      <c r="K59" s="1209">
        <v>46.529761904761905</v>
      </c>
      <c r="L59" s="1209">
        <v>46.63</v>
      </c>
      <c r="M59" s="1240">
        <v>46.53</v>
      </c>
      <c r="N59" s="32"/>
    </row>
    <row r="60" spans="1:14" s="31" customFormat="1">
      <c r="A60" s="43">
        <f t="shared" si="0"/>
        <v>43</v>
      </c>
      <c r="B60" s="1239">
        <v>46.24</v>
      </c>
      <c r="C60" s="1209">
        <v>46.24</v>
      </c>
      <c r="D60" s="1209">
        <v>46.24</v>
      </c>
      <c r="E60" s="1209">
        <v>46.24</v>
      </c>
      <c r="F60" s="1209">
        <v>46.24</v>
      </c>
      <c r="G60" s="1209">
        <v>46.24</v>
      </c>
      <c r="H60" s="1209">
        <v>30.41</v>
      </c>
      <c r="I60" s="1209">
        <v>46.24</v>
      </c>
      <c r="J60" s="1209">
        <v>46.24</v>
      </c>
      <c r="K60" s="1209">
        <v>46.241071428571431</v>
      </c>
      <c r="L60" s="1209">
        <v>46.25</v>
      </c>
      <c r="M60" s="1240">
        <v>46.24</v>
      </c>
      <c r="N60" s="32"/>
    </row>
    <row r="61" spans="1:14" s="31" customFormat="1">
      <c r="A61" s="43">
        <f t="shared" si="0"/>
        <v>42</v>
      </c>
      <c r="B61" s="1239">
        <v>45.97</v>
      </c>
      <c r="C61" s="1209">
        <v>45.96</v>
      </c>
      <c r="D61" s="1209">
        <v>45.97</v>
      </c>
      <c r="E61" s="1209">
        <v>45.97</v>
      </c>
      <c r="F61" s="1209">
        <v>45.96</v>
      </c>
      <c r="G61" s="1209">
        <v>45.96</v>
      </c>
      <c r="H61" s="1209">
        <v>30.01</v>
      </c>
      <c r="I61" s="1209">
        <v>45.96</v>
      </c>
      <c r="J61" s="1209">
        <v>45.97</v>
      </c>
      <c r="K61" s="1268">
        <v>45.969047619047615</v>
      </c>
      <c r="L61" s="1209">
        <v>46</v>
      </c>
      <c r="M61" s="1240">
        <v>45.97</v>
      </c>
      <c r="N61" s="32"/>
    </row>
    <row r="62" spans="1:14" s="15" customFormat="1" ht="14.25" thickBot="1">
      <c r="A62" s="46">
        <f t="shared" si="0"/>
        <v>41</v>
      </c>
      <c r="B62" s="1245">
        <v>45.71</v>
      </c>
      <c r="C62" s="1212">
        <v>45.71</v>
      </c>
      <c r="D62" s="1212">
        <v>45.71</v>
      </c>
      <c r="E62" s="1212">
        <v>45.71</v>
      </c>
      <c r="F62" s="1212">
        <v>45.71</v>
      </c>
      <c r="G62" s="1212">
        <v>45.71</v>
      </c>
      <c r="H62" s="1212">
        <v>29.61</v>
      </c>
      <c r="I62" s="1212">
        <v>45.71</v>
      </c>
      <c r="J62" s="1212">
        <v>45.71</v>
      </c>
      <c r="K62" s="1212">
        <v>45.710416666666667</v>
      </c>
      <c r="L62" s="1212">
        <v>45.75</v>
      </c>
      <c r="M62" s="1246">
        <v>45.71</v>
      </c>
      <c r="N62" s="19"/>
    </row>
    <row r="63" spans="1:14" s="17" customFormat="1">
      <c r="A63" s="42">
        <f t="shared" si="0"/>
        <v>40</v>
      </c>
      <c r="B63" s="1237">
        <v>45.49</v>
      </c>
      <c r="C63" s="1208">
        <v>45.48</v>
      </c>
      <c r="D63" s="1208">
        <v>45.49</v>
      </c>
      <c r="E63" s="1208">
        <v>45.49</v>
      </c>
      <c r="F63" s="1208">
        <v>45.48</v>
      </c>
      <c r="G63" s="1208">
        <v>45.48</v>
      </c>
      <c r="H63" s="1208">
        <v>29.21</v>
      </c>
      <c r="I63" s="1208">
        <v>45.48</v>
      </c>
      <c r="J63" s="1208">
        <v>45.49</v>
      </c>
      <c r="K63" s="1208">
        <v>45.485119047619044</v>
      </c>
      <c r="L63" s="1208">
        <v>45.63</v>
      </c>
      <c r="M63" s="1238">
        <v>45.49</v>
      </c>
      <c r="N63" s="20"/>
    </row>
    <row r="64" spans="1:14" s="31" customFormat="1">
      <c r="A64" s="43">
        <f t="shared" si="0"/>
        <v>39</v>
      </c>
      <c r="B64" s="1239">
        <v>45.25</v>
      </c>
      <c r="C64" s="1209">
        <v>45.25</v>
      </c>
      <c r="D64" s="1209">
        <v>45.25</v>
      </c>
      <c r="E64" s="1209">
        <v>45.25</v>
      </c>
      <c r="F64" s="1209">
        <v>45.25</v>
      </c>
      <c r="G64" s="1209">
        <v>45.25</v>
      </c>
      <c r="H64" s="1209">
        <v>28.81</v>
      </c>
      <c r="I64" s="1209">
        <v>45.25</v>
      </c>
      <c r="J64" s="1209">
        <v>45.25</v>
      </c>
      <c r="K64" s="1209">
        <v>45.252678571428575</v>
      </c>
      <c r="L64" s="1209">
        <v>45.25</v>
      </c>
      <c r="M64" s="1240">
        <v>45.25</v>
      </c>
      <c r="N64" s="32"/>
    </row>
    <row r="65" spans="1:14" s="31" customFormat="1">
      <c r="A65" s="43">
        <f t="shared" si="0"/>
        <v>38</v>
      </c>
      <c r="B65" s="1239">
        <v>45.02</v>
      </c>
      <c r="C65" s="1209">
        <v>45.02</v>
      </c>
      <c r="D65" s="1209">
        <v>45.02</v>
      </c>
      <c r="E65" s="1209">
        <v>45.02</v>
      </c>
      <c r="F65" s="1209">
        <v>45.02</v>
      </c>
      <c r="G65" s="1209">
        <v>45.02</v>
      </c>
      <c r="H65" s="1209">
        <v>28.41</v>
      </c>
      <c r="I65" s="1209">
        <v>45.02</v>
      </c>
      <c r="J65" s="1209">
        <v>45.02</v>
      </c>
      <c r="K65" s="1209">
        <v>45.020238095238099</v>
      </c>
      <c r="L65" s="1209">
        <v>45</v>
      </c>
      <c r="M65" s="1240">
        <v>45.02</v>
      </c>
      <c r="N65" s="32"/>
    </row>
    <row r="66" spans="1:14" s="31" customFormat="1">
      <c r="A66" s="43">
        <f t="shared" si="0"/>
        <v>37</v>
      </c>
      <c r="B66" s="1239">
        <v>44.76</v>
      </c>
      <c r="C66" s="1209">
        <v>44.76</v>
      </c>
      <c r="D66" s="1209">
        <v>44.76</v>
      </c>
      <c r="E66" s="1209">
        <v>44.76</v>
      </c>
      <c r="F66" s="1209">
        <v>44.76</v>
      </c>
      <c r="G66" s="1209">
        <v>44.76</v>
      </c>
      <c r="H66" s="1209">
        <v>28.01</v>
      </c>
      <c r="I66" s="1209">
        <v>44.76</v>
      </c>
      <c r="J66" s="1209">
        <v>44.76</v>
      </c>
      <c r="K66" s="1209">
        <v>44.760714285714286</v>
      </c>
      <c r="L66" s="1209">
        <v>44.88</v>
      </c>
      <c r="M66" s="1240">
        <v>44.76</v>
      </c>
      <c r="N66" s="32"/>
    </row>
    <row r="67" spans="1:14" s="31" customFormat="1">
      <c r="A67" s="43">
        <f t="shared" si="0"/>
        <v>36</v>
      </c>
      <c r="B67" s="1239">
        <v>44.5</v>
      </c>
      <c r="C67" s="1209">
        <v>44.5</v>
      </c>
      <c r="D67" s="1209">
        <v>44.5</v>
      </c>
      <c r="E67" s="1209">
        <v>44.5</v>
      </c>
      <c r="F67" s="1209">
        <v>44.5</v>
      </c>
      <c r="G67" s="1209">
        <v>44.5</v>
      </c>
      <c r="H67" s="1209">
        <v>27.61</v>
      </c>
      <c r="I67" s="1209">
        <v>44.5</v>
      </c>
      <c r="J67" s="1209">
        <v>44.5</v>
      </c>
      <c r="K67" s="1209">
        <v>44.501190476190473</v>
      </c>
      <c r="L67" s="1209">
        <v>44.5</v>
      </c>
      <c r="M67" s="1240">
        <v>44.5</v>
      </c>
      <c r="N67" s="32"/>
    </row>
    <row r="68" spans="1:14" s="31" customFormat="1">
      <c r="A68" s="43">
        <f t="shared" ref="A68:A103" si="1">103-ROW()</f>
        <v>35</v>
      </c>
      <c r="B68" s="1239">
        <v>44.25</v>
      </c>
      <c r="C68" s="1209">
        <v>44.24</v>
      </c>
      <c r="D68" s="1209">
        <v>44.25</v>
      </c>
      <c r="E68" s="1209">
        <v>44.25</v>
      </c>
      <c r="F68" s="1209">
        <v>44.24</v>
      </c>
      <c r="G68" s="1209">
        <v>44.24</v>
      </c>
      <c r="H68" s="1209">
        <v>27.21</v>
      </c>
      <c r="I68" s="1209">
        <v>44.24</v>
      </c>
      <c r="J68" s="1209">
        <v>44.25</v>
      </c>
      <c r="K68" s="1209">
        <v>44.24583333333333</v>
      </c>
      <c r="L68" s="1209">
        <v>44.38</v>
      </c>
      <c r="M68" s="1240">
        <v>44.25</v>
      </c>
      <c r="N68" s="32"/>
    </row>
    <row r="69" spans="1:14" s="31" customFormat="1">
      <c r="A69" s="43">
        <f t="shared" si="1"/>
        <v>34</v>
      </c>
      <c r="B69" s="1239">
        <v>43.99</v>
      </c>
      <c r="C69" s="1209">
        <v>43.99</v>
      </c>
      <c r="D69" s="1209">
        <v>43.99</v>
      </c>
      <c r="E69" s="1209">
        <v>43.99</v>
      </c>
      <c r="F69" s="1209">
        <v>43.99</v>
      </c>
      <c r="G69" s="1209">
        <v>43.99</v>
      </c>
      <c r="H69" s="1209">
        <v>26.81</v>
      </c>
      <c r="I69" s="1209">
        <v>43.99</v>
      </c>
      <c r="J69" s="1209">
        <v>43.99</v>
      </c>
      <c r="K69" s="1209">
        <v>43.990476190476187</v>
      </c>
      <c r="L69" s="1209">
        <v>44.25</v>
      </c>
      <c r="M69" s="1240">
        <v>43.99</v>
      </c>
      <c r="N69" s="32"/>
    </row>
    <row r="70" spans="1:14" s="31" customFormat="1">
      <c r="A70" s="43">
        <f t="shared" si="1"/>
        <v>33</v>
      </c>
      <c r="B70" s="1239">
        <v>43.73</v>
      </c>
      <c r="C70" s="1209">
        <v>43.72</v>
      </c>
      <c r="D70" s="1209">
        <v>43.72</v>
      </c>
      <c r="E70" s="1209">
        <v>43.72</v>
      </c>
      <c r="F70" s="1209">
        <v>43.72</v>
      </c>
      <c r="G70" s="1209">
        <v>43.72</v>
      </c>
      <c r="H70" s="1209">
        <v>26.41</v>
      </c>
      <c r="I70" s="1209">
        <v>43.72</v>
      </c>
      <c r="J70" s="1209">
        <v>43.73</v>
      </c>
      <c r="K70" s="1209">
        <v>43.72470238095238</v>
      </c>
      <c r="L70" s="1209">
        <v>44</v>
      </c>
      <c r="M70" s="1240">
        <v>43.72</v>
      </c>
      <c r="N70" s="32"/>
    </row>
    <row r="71" spans="1:14" s="31" customFormat="1">
      <c r="A71" s="43">
        <f t="shared" si="1"/>
        <v>32</v>
      </c>
      <c r="B71" s="1239">
        <v>43.47</v>
      </c>
      <c r="C71" s="1209">
        <v>43.46</v>
      </c>
      <c r="D71" s="1209">
        <v>43.47</v>
      </c>
      <c r="E71" s="1209">
        <v>43.47</v>
      </c>
      <c r="F71" s="1209">
        <v>43.46</v>
      </c>
      <c r="G71" s="1209">
        <v>43.46</v>
      </c>
      <c r="H71" s="1209">
        <v>26.01</v>
      </c>
      <c r="I71" s="1209">
        <v>43.46</v>
      </c>
      <c r="J71" s="1209">
        <v>43.47</v>
      </c>
      <c r="K71" s="1209">
        <v>43.469345238095237</v>
      </c>
      <c r="L71" s="1209">
        <v>43.63</v>
      </c>
      <c r="M71" s="1240">
        <v>43.47</v>
      </c>
      <c r="N71" s="32"/>
    </row>
    <row r="72" spans="1:14" s="10" customFormat="1" ht="14.25" thickBot="1">
      <c r="A72" s="44">
        <f t="shared" si="1"/>
        <v>31</v>
      </c>
      <c r="B72" s="1241">
        <v>43.21</v>
      </c>
      <c r="C72" s="1210">
        <v>43.21</v>
      </c>
      <c r="D72" s="1210">
        <v>43.21</v>
      </c>
      <c r="E72" s="1210">
        <v>43.21</v>
      </c>
      <c r="F72" s="1210">
        <v>43.21</v>
      </c>
      <c r="G72" s="1210">
        <v>43.21</v>
      </c>
      <c r="H72" s="1210">
        <v>25.61</v>
      </c>
      <c r="I72" s="1210">
        <v>43.21</v>
      </c>
      <c r="J72" s="1210">
        <v>43.21</v>
      </c>
      <c r="K72" s="1210">
        <v>43.213988095238093</v>
      </c>
      <c r="L72" s="1210">
        <v>43.38</v>
      </c>
      <c r="M72" s="1242">
        <v>43.21</v>
      </c>
      <c r="N72" s="21"/>
    </row>
    <row r="73" spans="1:14" s="16" customFormat="1">
      <c r="A73" s="45">
        <f t="shared" si="1"/>
        <v>30</v>
      </c>
      <c r="B73" s="1243">
        <v>42.97</v>
      </c>
      <c r="C73" s="1211">
        <v>42.96</v>
      </c>
      <c r="D73" s="1211">
        <v>42.97</v>
      </c>
      <c r="E73" s="1211">
        <v>42.97</v>
      </c>
      <c r="F73" s="1211">
        <v>42.96</v>
      </c>
      <c r="G73" s="1211">
        <v>42.96</v>
      </c>
      <c r="H73" s="1211">
        <v>25.21</v>
      </c>
      <c r="I73" s="1211">
        <v>42.96</v>
      </c>
      <c r="J73" s="1211">
        <v>42.97</v>
      </c>
      <c r="K73" s="1211">
        <v>42.969047619047615</v>
      </c>
      <c r="L73" s="1211">
        <v>43</v>
      </c>
      <c r="M73" s="1244">
        <v>42.97</v>
      </c>
      <c r="N73" s="22"/>
    </row>
    <row r="74" spans="1:14" s="31" customFormat="1">
      <c r="A74" s="43">
        <f t="shared" si="1"/>
        <v>29</v>
      </c>
      <c r="B74" s="1239">
        <v>42.73</v>
      </c>
      <c r="C74" s="1209">
        <v>42.73</v>
      </c>
      <c r="D74" s="1209">
        <v>42.73</v>
      </c>
      <c r="E74" s="1209">
        <v>42.73</v>
      </c>
      <c r="F74" s="1209">
        <v>42.73</v>
      </c>
      <c r="G74" s="1209">
        <v>42.73</v>
      </c>
      <c r="H74" s="1209">
        <v>24.81</v>
      </c>
      <c r="I74" s="1209">
        <v>42.73</v>
      </c>
      <c r="J74" s="1209">
        <v>42.73</v>
      </c>
      <c r="K74" s="1209">
        <v>42.733482142857142</v>
      </c>
      <c r="L74" s="1209">
        <v>42.75</v>
      </c>
      <c r="M74" s="1240">
        <v>42.73</v>
      </c>
      <c r="N74" s="32"/>
    </row>
    <row r="75" spans="1:14" s="31" customFormat="1">
      <c r="A75" s="43">
        <f t="shared" si="1"/>
        <v>28</v>
      </c>
      <c r="B75" s="1239">
        <v>42.5</v>
      </c>
      <c r="C75" s="1209">
        <v>42.49</v>
      </c>
      <c r="D75" s="1209">
        <v>42.5</v>
      </c>
      <c r="E75" s="1209">
        <v>42.5</v>
      </c>
      <c r="F75" s="1209">
        <v>42.49</v>
      </c>
      <c r="G75" s="1209">
        <v>42.49</v>
      </c>
      <c r="H75" s="1209">
        <v>24.41</v>
      </c>
      <c r="I75" s="1209">
        <v>42.49</v>
      </c>
      <c r="J75" s="1209">
        <v>42.5</v>
      </c>
      <c r="K75" s="1209">
        <v>42.497916666666669</v>
      </c>
      <c r="L75" s="1209">
        <v>42.63</v>
      </c>
      <c r="M75" s="1240">
        <v>42.5</v>
      </c>
      <c r="N75" s="32"/>
    </row>
    <row r="76" spans="1:14" s="31" customFormat="1">
      <c r="A76" s="43">
        <f t="shared" si="1"/>
        <v>27</v>
      </c>
      <c r="B76" s="1239">
        <v>42.27</v>
      </c>
      <c r="C76" s="1209">
        <v>42.26</v>
      </c>
      <c r="D76" s="1209">
        <v>42.27</v>
      </c>
      <c r="E76" s="1209">
        <v>42.27</v>
      </c>
      <c r="F76" s="1209">
        <v>42.26</v>
      </c>
      <c r="G76" s="1209">
        <v>42.26</v>
      </c>
      <c r="H76" s="1209">
        <v>24.01</v>
      </c>
      <c r="I76" s="1209">
        <v>42.26</v>
      </c>
      <c r="J76" s="1209">
        <v>42.27</v>
      </c>
      <c r="K76" s="1209">
        <v>42.265625</v>
      </c>
      <c r="L76" s="1209">
        <v>42.38</v>
      </c>
      <c r="M76" s="1240">
        <v>42.27</v>
      </c>
      <c r="N76" s="32"/>
    </row>
    <row r="77" spans="1:14" s="31" customFormat="1">
      <c r="A77" s="43">
        <f t="shared" si="1"/>
        <v>26</v>
      </c>
      <c r="B77" s="1239">
        <v>42.04</v>
      </c>
      <c r="C77" s="1209">
        <v>42.03</v>
      </c>
      <c r="D77" s="1209">
        <v>42.04</v>
      </c>
      <c r="E77" s="1209">
        <v>42.04</v>
      </c>
      <c r="F77" s="1209">
        <v>42.03</v>
      </c>
      <c r="G77" s="1209">
        <v>42.03</v>
      </c>
      <c r="H77" s="1209">
        <v>23.61</v>
      </c>
      <c r="I77" s="1209">
        <v>42.03</v>
      </c>
      <c r="J77" s="1209">
        <v>42.04</v>
      </c>
      <c r="K77" s="1209">
        <v>42.039583333333333</v>
      </c>
      <c r="L77" s="1209">
        <v>42.13</v>
      </c>
      <c r="M77" s="1240">
        <v>42.04</v>
      </c>
      <c r="N77" s="32"/>
    </row>
    <row r="78" spans="1:14" s="31" customFormat="1">
      <c r="A78" s="43">
        <f t="shared" si="1"/>
        <v>25</v>
      </c>
      <c r="B78" s="1239">
        <v>41.81</v>
      </c>
      <c r="C78" s="1209">
        <v>41.81</v>
      </c>
      <c r="D78" s="1209">
        <v>41.81</v>
      </c>
      <c r="E78" s="1209">
        <v>41.81</v>
      </c>
      <c r="F78" s="1209">
        <v>41.81</v>
      </c>
      <c r="G78" s="1209">
        <v>41.81</v>
      </c>
      <c r="H78" s="1209">
        <v>23.21</v>
      </c>
      <c r="I78" s="1209">
        <v>41.81</v>
      </c>
      <c r="J78" s="1209">
        <v>41.81</v>
      </c>
      <c r="K78" s="1209">
        <v>41.813541666666666</v>
      </c>
      <c r="L78" s="1209">
        <v>41.75</v>
      </c>
      <c r="M78" s="1240">
        <v>41.81</v>
      </c>
      <c r="N78" s="32"/>
    </row>
    <row r="79" spans="1:14" s="31" customFormat="1">
      <c r="A79" s="43">
        <f t="shared" si="1"/>
        <v>24</v>
      </c>
      <c r="B79" s="1239">
        <v>41.59</v>
      </c>
      <c r="C79" s="1209">
        <v>41.58</v>
      </c>
      <c r="D79" s="1209">
        <v>41.59</v>
      </c>
      <c r="E79" s="1209">
        <v>41.59</v>
      </c>
      <c r="F79" s="1209">
        <v>41.58</v>
      </c>
      <c r="G79" s="1209">
        <v>41.58</v>
      </c>
      <c r="H79" s="1209">
        <v>22.810000000000102</v>
      </c>
      <c r="I79" s="1209">
        <v>41.58</v>
      </c>
      <c r="J79" s="1209">
        <v>41.59</v>
      </c>
      <c r="K79" s="1209">
        <v>41.587499999999999</v>
      </c>
      <c r="L79" s="1209">
        <v>41.63</v>
      </c>
      <c r="M79" s="1240">
        <v>41.59</v>
      </c>
      <c r="N79" s="32"/>
    </row>
    <row r="80" spans="1:14" s="31" customFormat="1">
      <c r="A80" s="43">
        <f t="shared" si="1"/>
        <v>23</v>
      </c>
      <c r="B80" s="1239">
        <v>41.38</v>
      </c>
      <c r="C80" s="1209">
        <v>41.37</v>
      </c>
      <c r="D80" s="1209">
        <v>41.38</v>
      </c>
      <c r="E80" s="1209">
        <v>41.38</v>
      </c>
      <c r="F80" s="1209">
        <v>41.37</v>
      </c>
      <c r="G80" s="1209">
        <v>41.37</v>
      </c>
      <c r="H80" s="1209">
        <v>22.4100000000001</v>
      </c>
      <c r="I80" s="1209">
        <v>41.37</v>
      </c>
      <c r="J80" s="1209">
        <v>41.38</v>
      </c>
      <c r="K80" s="1209">
        <v>41.378124999999997</v>
      </c>
      <c r="L80" s="1209">
        <v>41.5</v>
      </c>
      <c r="M80" s="1240">
        <v>41.38</v>
      </c>
      <c r="N80" s="32"/>
    </row>
    <row r="81" spans="1:14" s="31" customFormat="1">
      <c r="A81" s="43">
        <f t="shared" si="1"/>
        <v>22</v>
      </c>
      <c r="B81" s="1239">
        <v>41.17</v>
      </c>
      <c r="C81" s="1209">
        <v>41.16</v>
      </c>
      <c r="D81" s="1209">
        <v>41.17</v>
      </c>
      <c r="E81" s="1209">
        <v>41.17</v>
      </c>
      <c r="F81" s="1209">
        <v>41.16</v>
      </c>
      <c r="G81" s="1209">
        <v>41.16</v>
      </c>
      <c r="H81" s="1209">
        <v>22.010000000000101</v>
      </c>
      <c r="I81" s="1209">
        <v>41.16</v>
      </c>
      <c r="J81" s="1209">
        <v>41.17</v>
      </c>
      <c r="K81" s="1268">
        <v>41.168750000000003</v>
      </c>
      <c r="L81" s="1209">
        <v>41.13</v>
      </c>
      <c r="M81" s="1240">
        <v>41.17</v>
      </c>
      <c r="N81" s="32"/>
    </row>
    <row r="82" spans="1:14" s="15" customFormat="1" ht="14.25" thickBot="1">
      <c r="A82" s="46">
        <f t="shared" si="1"/>
        <v>21</v>
      </c>
      <c r="B82" s="1245">
        <v>40.950000000000003</v>
      </c>
      <c r="C82" s="1212">
        <v>40.950000000000003</v>
      </c>
      <c r="D82" s="1212">
        <v>40.950000000000003</v>
      </c>
      <c r="E82" s="1212">
        <v>40.950000000000003</v>
      </c>
      <c r="F82" s="1212">
        <v>40.950000000000003</v>
      </c>
      <c r="G82" s="1212">
        <v>40.950000000000003</v>
      </c>
      <c r="H82" s="1212">
        <v>21.610000000000099</v>
      </c>
      <c r="I82" s="1212">
        <v>40.950000000000003</v>
      </c>
      <c r="J82" s="1212">
        <v>40.950000000000003</v>
      </c>
      <c r="K82" s="1212">
        <v>40.950892857142854</v>
      </c>
      <c r="L82" s="1212">
        <v>41</v>
      </c>
      <c r="M82" s="1246">
        <v>40.950000000000003</v>
      </c>
      <c r="N82" s="19"/>
    </row>
    <row r="83" spans="1:14" s="17" customFormat="1">
      <c r="A83" s="42">
        <f t="shared" si="1"/>
        <v>20</v>
      </c>
      <c r="B83" s="1237">
        <v>40.71</v>
      </c>
      <c r="C83" s="1208">
        <v>40.700000000000003</v>
      </c>
      <c r="D83" s="1208">
        <v>40.71</v>
      </c>
      <c r="E83" s="1208">
        <v>40.71</v>
      </c>
      <c r="F83" s="1208">
        <v>40.700000000000003</v>
      </c>
      <c r="G83" s="1208">
        <v>40.700000000000003</v>
      </c>
      <c r="H83" s="1208">
        <v>21.2100000000001</v>
      </c>
      <c r="I83" s="1208">
        <v>40.700000000000003</v>
      </c>
      <c r="J83" s="1208">
        <v>40.71</v>
      </c>
      <c r="K83" s="1208">
        <v>40.705952380952382</v>
      </c>
      <c r="L83" s="1208">
        <v>40.880000000000003</v>
      </c>
      <c r="M83" s="1238">
        <v>40.71</v>
      </c>
      <c r="N83" s="20"/>
    </row>
    <row r="84" spans="1:14" s="31" customFormat="1">
      <c r="A84" s="43">
        <f t="shared" si="1"/>
        <v>19</v>
      </c>
      <c r="B84" s="1239">
        <v>40.47</v>
      </c>
      <c r="C84" s="1209">
        <v>40.46</v>
      </c>
      <c r="D84" s="1209">
        <v>40.47</v>
      </c>
      <c r="E84" s="1209">
        <v>40.47</v>
      </c>
      <c r="F84" s="1209">
        <v>40.46</v>
      </c>
      <c r="G84" s="1209">
        <v>40.46</v>
      </c>
      <c r="H84" s="1209">
        <v>20.810000000000102</v>
      </c>
      <c r="I84" s="1209">
        <v>40.46</v>
      </c>
      <c r="J84" s="1209">
        <v>40.47</v>
      </c>
      <c r="K84" s="1209">
        <v>40.467261904761905</v>
      </c>
      <c r="L84" s="1209">
        <v>40.75</v>
      </c>
      <c r="M84" s="1240">
        <v>40.47</v>
      </c>
      <c r="N84" s="32"/>
    </row>
    <row r="85" spans="1:14" s="31" customFormat="1">
      <c r="A85" s="43">
        <f t="shared" si="1"/>
        <v>18</v>
      </c>
      <c r="B85" s="1239">
        <v>40.229999999999997</v>
      </c>
      <c r="C85" s="1209">
        <v>40.229999999999997</v>
      </c>
      <c r="D85" s="1209">
        <v>40.229999999999997</v>
      </c>
      <c r="E85" s="1209">
        <v>40.229999999999997</v>
      </c>
      <c r="F85" s="1209">
        <v>40.229999999999997</v>
      </c>
      <c r="G85" s="1209">
        <v>40.229999999999997</v>
      </c>
      <c r="H85" s="1209">
        <v>20.4100000000001</v>
      </c>
      <c r="I85" s="1209">
        <v>40.229999999999997</v>
      </c>
      <c r="J85" s="1209">
        <v>40.229999999999997</v>
      </c>
      <c r="K85" s="1209">
        <v>40.232738095238098</v>
      </c>
      <c r="L85" s="1209">
        <v>40.25</v>
      </c>
      <c r="M85" s="1240">
        <v>40.229999999999997</v>
      </c>
      <c r="N85" s="32"/>
    </row>
    <row r="86" spans="1:14" s="31" customFormat="1">
      <c r="A86" s="43">
        <f t="shared" si="1"/>
        <v>17</v>
      </c>
      <c r="B86" s="1239">
        <v>40.01</v>
      </c>
      <c r="C86" s="1209">
        <v>40</v>
      </c>
      <c r="D86" s="1209">
        <v>40.01</v>
      </c>
      <c r="E86" s="1209">
        <v>40.01</v>
      </c>
      <c r="F86" s="1209">
        <v>40</v>
      </c>
      <c r="G86" s="1209">
        <v>40</v>
      </c>
      <c r="H86" s="1209">
        <v>20.010000000000101</v>
      </c>
      <c r="I86" s="1209">
        <v>40</v>
      </c>
      <c r="J86" s="1209">
        <v>40.01</v>
      </c>
      <c r="K86" s="1209">
        <v>40.008630952380955</v>
      </c>
      <c r="L86" s="1209">
        <v>40.25</v>
      </c>
      <c r="M86" s="1240">
        <v>40.01</v>
      </c>
      <c r="N86" s="32"/>
    </row>
    <row r="87" spans="1:14" s="31" customFormat="1">
      <c r="A87" s="43">
        <f t="shared" si="1"/>
        <v>16</v>
      </c>
      <c r="B87" s="1239">
        <v>39.78</v>
      </c>
      <c r="C87" s="1209">
        <v>39.78</v>
      </c>
      <c r="D87" s="1209">
        <v>39.78</v>
      </c>
      <c r="E87" s="1209">
        <v>39.78</v>
      </c>
      <c r="F87" s="1209">
        <v>39.78</v>
      </c>
      <c r="G87" s="1209">
        <v>39.78</v>
      </c>
      <c r="H87" s="1209">
        <v>19.610000000000099</v>
      </c>
      <c r="I87" s="1209">
        <v>39.78</v>
      </c>
      <c r="J87" s="1209">
        <v>39.78</v>
      </c>
      <c r="K87" s="1209">
        <v>39.784523809523812</v>
      </c>
      <c r="L87" s="1209">
        <v>40</v>
      </c>
      <c r="M87" s="1240">
        <v>39.78</v>
      </c>
      <c r="N87" s="32"/>
    </row>
    <row r="88" spans="1:14" s="31" customFormat="1">
      <c r="A88" s="43">
        <f t="shared" si="1"/>
        <v>15</v>
      </c>
      <c r="B88" s="1239">
        <v>39.56</v>
      </c>
      <c r="C88" s="1209">
        <v>39.56</v>
      </c>
      <c r="D88" s="1209">
        <v>39.56</v>
      </c>
      <c r="E88" s="1209">
        <v>39.56</v>
      </c>
      <c r="F88" s="1209">
        <v>39.56</v>
      </c>
      <c r="G88" s="1209">
        <v>39.56</v>
      </c>
      <c r="H88" s="1209">
        <v>19.2100000000001</v>
      </c>
      <c r="I88" s="1209">
        <v>39.56</v>
      </c>
      <c r="J88" s="1209">
        <v>39.56</v>
      </c>
      <c r="K88" s="1209">
        <v>39.560416666666669</v>
      </c>
      <c r="L88" s="1209">
        <v>39.5</v>
      </c>
      <c r="M88" s="1240">
        <v>39.56</v>
      </c>
      <c r="N88" s="32"/>
    </row>
    <row r="89" spans="1:14" s="31" customFormat="1">
      <c r="A89" s="43">
        <f t="shared" si="1"/>
        <v>14</v>
      </c>
      <c r="B89" s="1239">
        <v>39.31</v>
      </c>
      <c r="C89" s="1209">
        <v>39.299999999999997</v>
      </c>
      <c r="D89" s="1209">
        <v>39.31</v>
      </c>
      <c r="E89" s="1209">
        <v>39.31</v>
      </c>
      <c r="F89" s="1209">
        <v>39.299999999999997</v>
      </c>
      <c r="G89" s="1209">
        <v>39.299999999999997</v>
      </c>
      <c r="H89" s="1209">
        <v>18.810000000000102</v>
      </c>
      <c r="I89" s="1209">
        <v>39.299999999999997</v>
      </c>
      <c r="J89" s="1209">
        <v>39.31</v>
      </c>
      <c r="K89" s="1209">
        <v>39.306249999999999</v>
      </c>
      <c r="L89" s="1209">
        <v>39.380000000000003</v>
      </c>
      <c r="M89" s="1240">
        <v>39.31</v>
      </c>
      <c r="N89" s="32"/>
    </row>
    <row r="90" spans="1:14" s="31" customFormat="1">
      <c r="A90" s="43">
        <f t="shared" si="1"/>
        <v>13</v>
      </c>
      <c r="B90" s="1239">
        <v>39.04</v>
      </c>
      <c r="C90" s="1209">
        <v>39.04</v>
      </c>
      <c r="D90" s="1209">
        <v>39.04</v>
      </c>
      <c r="E90" s="1209">
        <v>39.04</v>
      </c>
      <c r="F90" s="1209">
        <v>39.04</v>
      </c>
      <c r="G90" s="1209">
        <v>39.04</v>
      </c>
      <c r="H90" s="1209">
        <v>18.4100000000001</v>
      </c>
      <c r="I90" s="1209">
        <v>39.04</v>
      </c>
      <c r="J90" s="1209">
        <v>39.04</v>
      </c>
      <c r="K90" s="1209">
        <v>39.041666666666664</v>
      </c>
      <c r="L90" s="1209">
        <v>39.130000000000003</v>
      </c>
      <c r="M90" s="1240">
        <v>39.04</v>
      </c>
      <c r="N90" s="32"/>
    </row>
    <row r="91" spans="1:14" s="31" customFormat="1">
      <c r="A91" s="43">
        <f t="shared" si="1"/>
        <v>12</v>
      </c>
      <c r="B91" s="1239">
        <v>38.76</v>
      </c>
      <c r="C91" s="1209">
        <v>38.75</v>
      </c>
      <c r="D91" s="1209">
        <v>38.76</v>
      </c>
      <c r="E91" s="1209">
        <v>38.76</v>
      </c>
      <c r="F91" s="1209">
        <v>38.75</v>
      </c>
      <c r="G91" s="1209">
        <v>38.75</v>
      </c>
      <c r="H91" s="1209">
        <v>18.010000000000101</v>
      </c>
      <c r="I91" s="1209">
        <v>38.75</v>
      </c>
      <c r="J91" s="1209">
        <v>38.76</v>
      </c>
      <c r="K91" s="1209">
        <v>38.756250000000001</v>
      </c>
      <c r="L91" s="1209">
        <v>39</v>
      </c>
      <c r="M91" s="1240">
        <v>38.76</v>
      </c>
      <c r="N91" s="32"/>
    </row>
    <row r="92" spans="1:14" s="10" customFormat="1" ht="14.25" thickBot="1">
      <c r="A92" s="44">
        <f t="shared" si="1"/>
        <v>11</v>
      </c>
      <c r="B92" s="1241">
        <v>38.44</v>
      </c>
      <c r="C92" s="1210">
        <v>38.43</v>
      </c>
      <c r="D92" s="1210">
        <v>38.44</v>
      </c>
      <c r="E92" s="1210">
        <v>38.44</v>
      </c>
      <c r="F92" s="1210">
        <v>38.43</v>
      </c>
      <c r="G92" s="1210">
        <v>38.43</v>
      </c>
      <c r="H92" s="1210">
        <v>17.610000000000099</v>
      </c>
      <c r="I92" s="1210">
        <v>38.43</v>
      </c>
      <c r="J92" s="1210">
        <v>38.44</v>
      </c>
      <c r="K92" s="1210">
        <v>38.435416666666669</v>
      </c>
      <c r="L92" s="1210">
        <v>38.630000000000003</v>
      </c>
      <c r="M92" s="1242">
        <v>38.44</v>
      </c>
      <c r="N92" s="21"/>
    </row>
    <row r="93" spans="1:14" s="17" customFormat="1">
      <c r="A93" s="42">
        <f t="shared" si="1"/>
        <v>10</v>
      </c>
      <c r="B93" s="1237">
        <v>38.119999999999997</v>
      </c>
      <c r="C93" s="1208">
        <v>38.11</v>
      </c>
      <c r="D93" s="1208">
        <v>38.11</v>
      </c>
      <c r="E93" s="1208">
        <v>38.11</v>
      </c>
      <c r="F93" s="1208">
        <v>38.11</v>
      </c>
      <c r="G93" s="1208">
        <v>38.11</v>
      </c>
      <c r="H93" s="1208">
        <v>17.2100000000001</v>
      </c>
      <c r="I93" s="1208">
        <v>38.11</v>
      </c>
      <c r="J93" s="1208">
        <v>38.119999999999997</v>
      </c>
      <c r="K93" s="1208">
        <v>38.114583333333336</v>
      </c>
      <c r="L93" s="1208">
        <v>38.380000000000003</v>
      </c>
      <c r="M93" s="1238">
        <v>38.11</v>
      </c>
      <c r="N93" s="20"/>
    </row>
    <row r="94" spans="1:14" s="31" customFormat="1">
      <c r="A94" s="43">
        <f t="shared" si="1"/>
        <v>9</v>
      </c>
      <c r="B94" s="1239">
        <v>37.83</v>
      </c>
      <c r="C94" s="1209">
        <v>37.82</v>
      </c>
      <c r="D94" s="1209">
        <v>37.83</v>
      </c>
      <c r="E94" s="1209">
        <v>37.83</v>
      </c>
      <c r="F94" s="1209">
        <v>37.82</v>
      </c>
      <c r="G94" s="1209">
        <v>37.82</v>
      </c>
      <c r="H94" s="1209">
        <v>16.810000000000102</v>
      </c>
      <c r="I94" s="1209">
        <v>37.82</v>
      </c>
      <c r="J94" s="1209">
        <v>37.83</v>
      </c>
      <c r="K94" s="1209">
        <v>37.825000000000003</v>
      </c>
      <c r="L94" s="1209">
        <v>38</v>
      </c>
      <c r="M94" s="1240">
        <v>37.83</v>
      </c>
      <c r="N94" s="32"/>
    </row>
    <row r="95" spans="1:14" s="31" customFormat="1">
      <c r="A95" s="43">
        <f t="shared" si="1"/>
        <v>8</v>
      </c>
      <c r="B95" s="1239">
        <v>37.54</v>
      </c>
      <c r="C95" s="1209">
        <v>37.53</v>
      </c>
      <c r="D95" s="1209">
        <v>37.54</v>
      </c>
      <c r="E95" s="1209">
        <v>37.54</v>
      </c>
      <c r="F95" s="1209">
        <v>37.53</v>
      </c>
      <c r="G95" s="1209">
        <v>37.53</v>
      </c>
      <c r="H95" s="1209">
        <v>16.4100000000001</v>
      </c>
      <c r="I95" s="1209">
        <v>37.53</v>
      </c>
      <c r="J95" s="1209">
        <v>37.54</v>
      </c>
      <c r="K95" s="1209">
        <v>37.53541666666667</v>
      </c>
      <c r="L95" s="1209">
        <v>37.75</v>
      </c>
      <c r="M95" s="1240">
        <v>37.54</v>
      </c>
      <c r="N95" s="32"/>
    </row>
    <row r="96" spans="1:14" s="31" customFormat="1">
      <c r="A96" s="43">
        <f t="shared" si="1"/>
        <v>7</v>
      </c>
      <c r="B96" s="1239">
        <v>37.21</v>
      </c>
      <c r="C96" s="1209">
        <v>37.200000000000003</v>
      </c>
      <c r="D96" s="1209">
        <v>37.21</v>
      </c>
      <c r="E96" s="1209">
        <v>37.21</v>
      </c>
      <c r="F96" s="1209">
        <v>37.200000000000003</v>
      </c>
      <c r="G96" s="1209">
        <v>37.200000000000003</v>
      </c>
      <c r="H96" s="1209">
        <v>16.010000000000101</v>
      </c>
      <c r="I96" s="1209">
        <v>37.200000000000003</v>
      </c>
      <c r="J96" s="1209">
        <v>37.21</v>
      </c>
      <c r="K96" s="1209">
        <v>37.208333333333336</v>
      </c>
      <c r="L96" s="1209">
        <v>37.380000000000003</v>
      </c>
      <c r="M96" s="1240">
        <v>37.21</v>
      </c>
      <c r="N96" s="32"/>
    </row>
    <row r="97" spans="1:14" s="31" customFormat="1">
      <c r="A97" s="43">
        <f t="shared" si="1"/>
        <v>6</v>
      </c>
      <c r="B97" s="1239">
        <v>36.81</v>
      </c>
      <c r="C97" s="1209">
        <v>36.81</v>
      </c>
      <c r="D97" s="1209">
        <v>36.81</v>
      </c>
      <c r="E97" s="1209">
        <v>36.81</v>
      </c>
      <c r="F97" s="1209">
        <v>36.81</v>
      </c>
      <c r="G97" s="1209">
        <v>36.81</v>
      </c>
      <c r="H97" s="1209">
        <v>15.610000000000101</v>
      </c>
      <c r="I97" s="1209">
        <v>36.81</v>
      </c>
      <c r="J97" s="1209">
        <v>36.81</v>
      </c>
      <c r="K97" s="1209">
        <v>36.8125</v>
      </c>
      <c r="L97" s="1209">
        <v>37</v>
      </c>
      <c r="M97" s="1240">
        <v>36.81</v>
      </c>
      <c r="N97" s="32"/>
    </row>
    <row r="98" spans="1:14" s="31" customFormat="1">
      <c r="A98" s="43">
        <f t="shared" si="1"/>
        <v>5</v>
      </c>
      <c r="B98" s="1239">
        <v>36.409999999999997</v>
      </c>
      <c r="C98" s="1209">
        <v>36.4</v>
      </c>
      <c r="D98" s="1209">
        <v>36.409999999999997</v>
      </c>
      <c r="E98" s="1209">
        <v>36.409999999999997</v>
      </c>
      <c r="F98" s="1209">
        <v>36.4</v>
      </c>
      <c r="G98" s="1209">
        <v>36.4</v>
      </c>
      <c r="H98" s="1209">
        <v>15.2100000000001</v>
      </c>
      <c r="I98" s="1209">
        <v>36.4</v>
      </c>
      <c r="J98" s="1209">
        <v>36.409999999999997</v>
      </c>
      <c r="K98" s="1209">
        <v>36.40625</v>
      </c>
      <c r="L98" s="1209">
        <v>36.630000000000003</v>
      </c>
      <c r="M98" s="1240">
        <v>36.409999999999997</v>
      </c>
      <c r="N98" s="32"/>
    </row>
    <row r="99" spans="1:14" s="31" customFormat="1">
      <c r="A99" s="43">
        <f t="shared" si="1"/>
        <v>4</v>
      </c>
      <c r="B99" s="1239">
        <v>35.979999999999997</v>
      </c>
      <c r="C99" s="1209">
        <v>35.97</v>
      </c>
      <c r="D99" s="1209">
        <v>35.979999999999997</v>
      </c>
      <c r="E99" s="1209">
        <v>35.979999999999997</v>
      </c>
      <c r="F99" s="1209">
        <v>35.97</v>
      </c>
      <c r="G99" s="1209">
        <v>35.97</v>
      </c>
      <c r="H99" s="1209">
        <v>14.8100000000001</v>
      </c>
      <c r="I99" s="1209">
        <v>35.97</v>
      </c>
      <c r="J99" s="1209">
        <v>35.979999999999997</v>
      </c>
      <c r="K99" s="1209">
        <v>35.979166666666664</v>
      </c>
      <c r="L99" s="1209">
        <v>36.130000000000003</v>
      </c>
      <c r="M99" s="1240">
        <v>35.979999999999997</v>
      </c>
      <c r="N99" s="32"/>
    </row>
    <row r="100" spans="1:14" s="31" customFormat="1">
      <c r="A100" s="43">
        <f t="shared" si="1"/>
        <v>3</v>
      </c>
      <c r="B100" s="1239">
        <v>35.31</v>
      </c>
      <c r="C100" s="1209">
        <v>35.31</v>
      </c>
      <c r="D100" s="1209">
        <v>35.31</v>
      </c>
      <c r="E100" s="1209">
        <v>35.31</v>
      </c>
      <c r="F100" s="1209">
        <v>35.31</v>
      </c>
      <c r="G100" s="1209">
        <v>35.31</v>
      </c>
      <c r="H100" s="1209">
        <v>14.4100000000001</v>
      </c>
      <c r="I100" s="1209">
        <v>35.31</v>
      </c>
      <c r="J100" s="1209">
        <v>35.31</v>
      </c>
      <c r="K100" s="1209">
        <v>35.3125</v>
      </c>
      <c r="L100" s="1209">
        <v>35.5</v>
      </c>
      <c r="M100" s="1240">
        <v>35.31</v>
      </c>
      <c r="N100" s="32"/>
    </row>
    <row r="101" spans="1:14" s="31" customFormat="1">
      <c r="A101" s="43">
        <f t="shared" si="1"/>
        <v>2</v>
      </c>
      <c r="B101" s="1239">
        <v>34.380000000000003</v>
      </c>
      <c r="C101" s="1209">
        <v>34.369999999999997</v>
      </c>
      <c r="D101" s="1209">
        <v>34.380000000000003</v>
      </c>
      <c r="E101" s="1209">
        <v>34.380000000000003</v>
      </c>
      <c r="F101" s="1209">
        <v>34.369999999999997</v>
      </c>
      <c r="G101" s="1209">
        <v>34.369999999999997</v>
      </c>
      <c r="H101" s="1209">
        <v>14.010000000000099</v>
      </c>
      <c r="I101" s="1209">
        <v>34.369999999999997</v>
      </c>
      <c r="J101" s="1209">
        <v>34.380000000000003</v>
      </c>
      <c r="K101" s="1209">
        <v>34.375</v>
      </c>
      <c r="L101" s="1209">
        <v>35.25</v>
      </c>
      <c r="M101" s="1240">
        <v>34.380000000000003</v>
      </c>
      <c r="N101" s="32"/>
    </row>
    <row r="102" spans="1:14" s="31" customFormat="1">
      <c r="A102" s="43">
        <f t="shared" si="1"/>
        <v>1</v>
      </c>
      <c r="B102" s="1239">
        <v>33.44</v>
      </c>
      <c r="C102" s="1209">
        <v>33.369999999999997</v>
      </c>
      <c r="D102" s="1209">
        <v>33.380000000000003</v>
      </c>
      <c r="E102" s="1209">
        <v>33.380000000000003</v>
      </c>
      <c r="F102" s="1209">
        <v>33.369999999999997</v>
      </c>
      <c r="G102" s="1209">
        <v>33.369999999999997</v>
      </c>
      <c r="H102" s="1209">
        <v>13.610000000000101</v>
      </c>
      <c r="I102" s="1209">
        <v>33.369999999999997</v>
      </c>
      <c r="J102" s="1209">
        <v>33.380000000000003</v>
      </c>
      <c r="K102" s="1268">
        <v>33</v>
      </c>
      <c r="L102" s="1209">
        <v>34.130000000000003</v>
      </c>
      <c r="M102" s="1240">
        <v>33.380000000000003</v>
      </c>
      <c r="N102" s="32"/>
    </row>
    <row r="103" spans="1:14" s="10" customFormat="1" ht="14.25" thickBot="1">
      <c r="A103" s="44">
        <f t="shared" si="1"/>
        <v>0</v>
      </c>
      <c r="B103" s="1241">
        <v>31.5</v>
      </c>
      <c r="C103" s="1210">
        <v>31.62</v>
      </c>
      <c r="D103" s="1210">
        <v>31</v>
      </c>
      <c r="E103" s="1210">
        <v>31.63</v>
      </c>
      <c r="F103" s="1210">
        <v>31.62</v>
      </c>
      <c r="G103" s="1210">
        <v>31.62</v>
      </c>
      <c r="H103" s="1210">
        <v>0</v>
      </c>
      <c r="I103" s="1210">
        <v>31.62</v>
      </c>
      <c r="J103" s="1210">
        <v>31.5</v>
      </c>
      <c r="K103" s="1270">
        <v>31.625</v>
      </c>
      <c r="L103" s="1210">
        <v>32.380000000000003</v>
      </c>
      <c r="M103" s="1242">
        <v>31.63</v>
      </c>
      <c r="N103" s="21"/>
    </row>
    <row r="105" spans="1:14">
      <c r="B105" s="1451"/>
      <c r="C105" s="1452"/>
    </row>
    <row r="106" spans="1:14">
      <c r="B106" s="1451"/>
      <c r="C106" s="1452"/>
    </row>
  </sheetData>
  <sheetProtection password="CA14" sheet="1" objects="1" scenarios="1"/>
  <mergeCells count="3">
    <mergeCell ref="B105:C105"/>
    <mergeCell ref="B106:C106"/>
    <mergeCell ref="B1:M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104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30" sqref="A30"/>
    </sheetView>
  </sheetViews>
  <sheetFormatPr defaultRowHeight="13.5"/>
  <cols>
    <col min="1" max="1" width="9.28515625" style="123" customWidth="1"/>
    <col min="2" max="2" width="5.85546875" style="1253" customWidth="1"/>
    <col min="3" max="8" width="5.85546875" style="1254" customWidth="1"/>
    <col min="9" max="9" width="5.85546875" style="1255" customWidth="1"/>
    <col min="10" max="10" width="5.85546875" style="1253" customWidth="1"/>
    <col min="11" max="16" width="5.85546875" style="1254" customWidth="1"/>
    <col min="17" max="17" width="5.85546875" style="1255" customWidth="1"/>
    <col min="18" max="18" width="9.140625" style="32"/>
    <col min="19" max="16384" width="9.140625" style="31"/>
  </cols>
  <sheetData>
    <row r="1" spans="1:18" ht="14.25" thickBot="1">
      <c r="A1" s="1456" t="s">
        <v>64</v>
      </c>
      <c r="B1" s="1458" t="s">
        <v>505</v>
      </c>
      <c r="C1" s="1459"/>
      <c r="D1" s="1459"/>
      <c r="E1" s="1459"/>
      <c r="F1" s="1459"/>
      <c r="G1" s="1459"/>
      <c r="H1" s="1459"/>
      <c r="I1" s="1460"/>
      <c r="J1" s="1458" t="s">
        <v>506</v>
      </c>
      <c r="K1" s="1459"/>
      <c r="L1" s="1459"/>
      <c r="M1" s="1459"/>
      <c r="N1" s="1459"/>
      <c r="O1" s="1459"/>
      <c r="P1" s="1459"/>
      <c r="Q1" s="1460"/>
    </row>
    <row r="2" spans="1:18" s="15" customFormat="1" ht="14.25" thickBot="1">
      <c r="A2" s="1457"/>
      <c r="B2" s="1247" t="s">
        <v>507</v>
      </c>
      <c r="C2" s="1248" t="s">
        <v>508</v>
      </c>
      <c r="D2" s="1248" t="s">
        <v>509</v>
      </c>
      <c r="E2" s="1248" t="s">
        <v>510</v>
      </c>
      <c r="F2" s="1248" t="s">
        <v>511</v>
      </c>
      <c r="G2" s="1248" t="s">
        <v>512</v>
      </c>
      <c r="H2" s="1248" t="s">
        <v>513</v>
      </c>
      <c r="I2" s="1249" t="s">
        <v>514</v>
      </c>
      <c r="J2" s="1247" t="s">
        <v>507</v>
      </c>
      <c r="K2" s="1248" t="s">
        <v>508</v>
      </c>
      <c r="L2" s="1248" t="s">
        <v>509</v>
      </c>
      <c r="M2" s="1248" t="s">
        <v>510</v>
      </c>
      <c r="N2" s="1248" t="s">
        <v>511</v>
      </c>
      <c r="O2" s="1248" t="s">
        <v>512</v>
      </c>
      <c r="P2" s="1248" t="s">
        <v>513</v>
      </c>
      <c r="Q2" s="1249" t="s">
        <v>514</v>
      </c>
      <c r="R2" s="19"/>
    </row>
    <row r="3" spans="1:18" s="17" customFormat="1">
      <c r="A3" s="122">
        <f>103-ROW()</f>
        <v>100</v>
      </c>
      <c r="B3" s="1250"/>
      <c r="C3" s="1251"/>
      <c r="D3" s="1251"/>
      <c r="E3" s="1251"/>
      <c r="F3" s="1251"/>
      <c r="G3" s="1251"/>
      <c r="H3" s="1251"/>
      <c r="I3" s="1252"/>
      <c r="J3" s="1250"/>
      <c r="K3" s="1251"/>
      <c r="L3" s="1251"/>
      <c r="M3" s="1251"/>
      <c r="N3" s="1251"/>
      <c r="O3" s="1251"/>
      <c r="P3" s="1251"/>
      <c r="Q3" s="1252"/>
      <c r="R3" s="20"/>
    </row>
    <row r="4" spans="1:18">
      <c r="A4" s="123">
        <f t="shared" ref="A4:A67" si="0">103-ROW()</f>
        <v>99</v>
      </c>
    </row>
    <row r="5" spans="1:18">
      <c r="A5" s="123">
        <f t="shared" si="0"/>
        <v>98</v>
      </c>
    </row>
    <row r="6" spans="1:18">
      <c r="A6" s="123">
        <f t="shared" si="0"/>
        <v>97</v>
      </c>
    </row>
    <row r="7" spans="1:18">
      <c r="A7" s="123">
        <f t="shared" si="0"/>
        <v>96</v>
      </c>
    </row>
    <row r="8" spans="1:18">
      <c r="A8" s="123">
        <f t="shared" si="0"/>
        <v>95</v>
      </c>
    </row>
    <row r="9" spans="1:18">
      <c r="A9" s="123">
        <f t="shared" si="0"/>
        <v>94</v>
      </c>
    </row>
    <row r="10" spans="1:18">
      <c r="A10" s="123">
        <f t="shared" si="0"/>
        <v>93</v>
      </c>
    </row>
    <row r="11" spans="1:18">
      <c r="A11" s="123">
        <f t="shared" si="0"/>
        <v>92</v>
      </c>
    </row>
    <row r="12" spans="1:18" s="10" customFormat="1" ht="14.25" thickBot="1">
      <c r="A12" s="124">
        <f t="shared" si="0"/>
        <v>91</v>
      </c>
      <c r="B12" s="1256"/>
      <c r="C12" s="1257"/>
      <c r="D12" s="1257"/>
      <c r="E12" s="1257"/>
      <c r="F12" s="1257"/>
      <c r="G12" s="1257"/>
      <c r="H12" s="1257"/>
      <c r="I12" s="1258"/>
      <c r="J12" s="1256"/>
      <c r="K12" s="1257"/>
      <c r="L12" s="1257"/>
      <c r="M12" s="1257"/>
      <c r="N12" s="1257"/>
      <c r="O12" s="1257"/>
      <c r="P12" s="1257"/>
      <c r="Q12" s="1258"/>
      <c r="R12" s="21"/>
    </row>
    <row r="13" spans="1:18" s="16" customFormat="1">
      <c r="A13" s="125">
        <f t="shared" si="0"/>
        <v>90</v>
      </c>
      <c r="B13" s="1259"/>
      <c r="C13" s="1260"/>
      <c r="D13" s="1260"/>
      <c r="E13" s="1260"/>
      <c r="F13" s="1260"/>
      <c r="G13" s="1260"/>
      <c r="H13" s="1260"/>
      <c r="I13" s="1261"/>
      <c r="J13" s="1259"/>
      <c r="K13" s="1260"/>
      <c r="L13" s="1260"/>
      <c r="M13" s="1260"/>
      <c r="N13" s="1260"/>
      <c r="O13" s="1260"/>
      <c r="P13" s="1260"/>
      <c r="Q13" s="1261"/>
      <c r="R13" s="22"/>
    </row>
    <row r="14" spans="1:18">
      <c r="A14" s="123">
        <f t="shared" si="0"/>
        <v>89</v>
      </c>
    </row>
    <row r="15" spans="1:18">
      <c r="A15" s="123">
        <f t="shared" si="0"/>
        <v>88</v>
      </c>
    </row>
    <row r="16" spans="1:18">
      <c r="A16" s="123">
        <f t="shared" si="0"/>
        <v>87</v>
      </c>
    </row>
    <row r="17" spans="1:40">
      <c r="A17" s="123">
        <f t="shared" si="0"/>
        <v>86</v>
      </c>
    </row>
    <row r="18" spans="1:40">
      <c r="A18" s="123">
        <f t="shared" si="0"/>
        <v>85</v>
      </c>
    </row>
    <row r="19" spans="1:40">
      <c r="A19" s="123">
        <f t="shared" si="0"/>
        <v>84</v>
      </c>
    </row>
    <row r="20" spans="1:40">
      <c r="A20" s="123">
        <f t="shared" si="0"/>
        <v>83</v>
      </c>
    </row>
    <row r="21" spans="1:40">
      <c r="A21" s="123">
        <f t="shared" si="0"/>
        <v>82</v>
      </c>
    </row>
    <row r="22" spans="1:40" s="15" customFormat="1" ht="14.25" thickBot="1">
      <c r="A22" s="126">
        <f t="shared" si="0"/>
        <v>81</v>
      </c>
      <c r="B22" s="1256"/>
      <c r="C22" s="1257"/>
      <c r="D22" s="1257"/>
      <c r="E22" s="1257"/>
      <c r="F22" s="1257"/>
      <c r="G22" s="1257"/>
      <c r="H22" s="1257"/>
      <c r="I22" s="1258"/>
      <c r="J22" s="1256"/>
      <c r="K22" s="1257"/>
      <c r="L22" s="1257"/>
      <c r="M22" s="1257"/>
      <c r="N22" s="1257"/>
      <c r="O22" s="1257"/>
      <c r="P22" s="1257"/>
      <c r="Q22" s="1258"/>
      <c r="R22" s="21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s="17" customFormat="1">
      <c r="A23" s="122">
        <f t="shared" si="0"/>
        <v>80</v>
      </c>
      <c r="B23" s="1259"/>
      <c r="C23" s="1260"/>
      <c r="D23" s="1260"/>
      <c r="E23" s="1260"/>
      <c r="F23" s="1260"/>
      <c r="G23" s="1260"/>
      <c r="H23" s="1260"/>
      <c r="I23" s="1261"/>
      <c r="J23" s="1259"/>
      <c r="K23" s="1260"/>
      <c r="L23" s="1260"/>
      <c r="M23" s="1260"/>
      <c r="N23" s="1260"/>
      <c r="O23" s="1260"/>
      <c r="P23" s="1260"/>
      <c r="Q23" s="1261"/>
      <c r="R23" s="22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>
      <c r="A24" s="123">
        <f t="shared" si="0"/>
        <v>79</v>
      </c>
    </row>
    <row r="25" spans="1:40">
      <c r="A25" s="123">
        <f t="shared" si="0"/>
        <v>78</v>
      </c>
    </row>
    <row r="26" spans="1:40">
      <c r="A26" s="123">
        <f t="shared" si="0"/>
        <v>77</v>
      </c>
    </row>
    <row r="27" spans="1:40">
      <c r="A27" s="123">
        <f t="shared" si="0"/>
        <v>76</v>
      </c>
    </row>
    <row r="28" spans="1:40">
      <c r="A28" s="123">
        <f t="shared" si="0"/>
        <v>75</v>
      </c>
      <c r="G28" s="1254">
        <v>72.37</v>
      </c>
      <c r="O28" s="1254">
        <v>72</v>
      </c>
    </row>
    <row r="29" spans="1:40">
      <c r="A29" s="123">
        <f t="shared" si="0"/>
        <v>74</v>
      </c>
      <c r="F29" s="1254">
        <v>72.37</v>
      </c>
      <c r="G29" s="1254">
        <v>71.739999999999995</v>
      </c>
      <c r="I29" s="1255">
        <v>72.37</v>
      </c>
      <c r="N29" s="1254">
        <v>72</v>
      </c>
      <c r="O29" s="1254">
        <v>71.77</v>
      </c>
      <c r="Q29" s="1255">
        <v>72</v>
      </c>
    </row>
    <row r="30" spans="1:40">
      <c r="A30" s="123">
        <f t="shared" si="0"/>
        <v>73</v>
      </c>
      <c r="B30" s="1253">
        <v>72.37</v>
      </c>
      <c r="G30" s="1254">
        <v>71.12</v>
      </c>
      <c r="I30" s="1255">
        <v>71.12</v>
      </c>
      <c r="J30" s="1253">
        <v>72</v>
      </c>
      <c r="O30" s="1254">
        <v>71.540000000000006</v>
      </c>
      <c r="Q30" s="1255">
        <v>71.540000000000006</v>
      </c>
    </row>
    <row r="31" spans="1:40">
      <c r="A31" s="123">
        <f t="shared" si="0"/>
        <v>72</v>
      </c>
      <c r="B31" s="1253">
        <v>71.12</v>
      </c>
      <c r="E31" s="1254">
        <v>72.37</v>
      </c>
      <c r="F31" s="1254">
        <v>71.12</v>
      </c>
      <c r="G31" s="1254">
        <v>70.52</v>
      </c>
      <c r="I31" s="1255">
        <v>69.930000000000007</v>
      </c>
      <c r="J31" s="1253">
        <v>71.540000000000006</v>
      </c>
      <c r="M31" s="1254">
        <v>72</v>
      </c>
      <c r="N31" s="1254">
        <v>71.540000000000006</v>
      </c>
      <c r="O31" s="1254">
        <v>71.31</v>
      </c>
      <c r="Q31" s="1255">
        <v>71.08</v>
      </c>
    </row>
    <row r="32" spans="1:40" s="10" customFormat="1" ht="14.25" thickBot="1">
      <c r="A32" s="124">
        <f t="shared" si="0"/>
        <v>71</v>
      </c>
      <c r="B32" s="1256">
        <v>70.52</v>
      </c>
      <c r="C32" s="1257"/>
      <c r="D32" s="1257">
        <v>72.37</v>
      </c>
      <c r="E32" s="1257"/>
      <c r="F32" s="1257">
        <v>69</v>
      </c>
      <c r="G32" s="1257">
        <v>69.930000000000007</v>
      </c>
      <c r="H32" s="1257">
        <v>71.12</v>
      </c>
      <c r="I32" s="1258">
        <v>69</v>
      </c>
      <c r="J32" s="1256">
        <v>71.31</v>
      </c>
      <c r="K32" s="1257"/>
      <c r="L32" s="1257">
        <v>72</v>
      </c>
      <c r="M32" s="1257"/>
      <c r="N32" s="1257">
        <v>70.62</v>
      </c>
      <c r="O32" s="1257">
        <v>71.08</v>
      </c>
      <c r="P32" s="1257">
        <v>71.540000000000006</v>
      </c>
      <c r="Q32" s="1258">
        <v>70.62</v>
      </c>
      <c r="R32" s="21"/>
    </row>
    <row r="33" spans="1:18" s="16" customFormat="1">
      <c r="A33" s="125">
        <f t="shared" si="0"/>
        <v>70</v>
      </c>
      <c r="B33" s="1259">
        <v>69.930000000000007</v>
      </c>
      <c r="C33" s="1260"/>
      <c r="D33" s="1260"/>
      <c r="E33" s="1260">
        <v>71.12</v>
      </c>
      <c r="F33" s="1260">
        <v>67.430000000000007</v>
      </c>
      <c r="G33" s="1260">
        <v>69.459999999999994</v>
      </c>
      <c r="H33" s="1260">
        <v>69.930000000000007</v>
      </c>
      <c r="I33" s="1261">
        <v>68.25</v>
      </c>
      <c r="J33" s="1259">
        <v>71.08</v>
      </c>
      <c r="K33" s="1260"/>
      <c r="L33" s="1260"/>
      <c r="M33" s="1260">
        <v>71.540000000000006</v>
      </c>
      <c r="N33" s="1260">
        <v>69.7</v>
      </c>
      <c r="O33" s="1260">
        <v>70.849999999999994</v>
      </c>
      <c r="P33" s="1260">
        <v>71.08</v>
      </c>
      <c r="Q33" s="1261">
        <v>70.16</v>
      </c>
      <c r="R33" s="22"/>
    </row>
    <row r="34" spans="1:18">
      <c r="A34" s="123">
        <f t="shared" si="0"/>
        <v>69</v>
      </c>
      <c r="B34" s="1253">
        <v>69</v>
      </c>
      <c r="C34" s="1254">
        <v>71.12</v>
      </c>
      <c r="D34" s="1254">
        <v>71.12</v>
      </c>
      <c r="E34" s="1254">
        <v>69.930000000000007</v>
      </c>
      <c r="F34" s="1254">
        <v>66.849999999999994</v>
      </c>
      <c r="G34" s="1254">
        <v>69</v>
      </c>
      <c r="H34" s="1254">
        <v>69</v>
      </c>
      <c r="I34" s="1255">
        <v>67.430000000000007</v>
      </c>
      <c r="J34" s="1253">
        <v>70.62</v>
      </c>
      <c r="K34" s="1254">
        <v>71.540000000000006</v>
      </c>
      <c r="L34" s="1254">
        <v>71.540000000000006</v>
      </c>
      <c r="M34" s="1254">
        <v>71.08</v>
      </c>
      <c r="N34" s="1254">
        <v>69.239999999999995</v>
      </c>
      <c r="O34" s="1254">
        <v>70.62</v>
      </c>
      <c r="P34" s="1254">
        <v>70.62</v>
      </c>
      <c r="Q34" s="1255">
        <v>69.7</v>
      </c>
    </row>
    <row r="35" spans="1:18">
      <c r="A35" s="123">
        <f t="shared" si="0"/>
        <v>68</v>
      </c>
      <c r="B35" s="1253">
        <v>68.25</v>
      </c>
      <c r="C35" s="1254">
        <v>69.930000000000007</v>
      </c>
      <c r="D35" s="1254">
        <v>69.930000000000007</v>
      </c>
      <c r="E35" s="1254">
        <v>69</v>
      </c>
      <c r="F35" s="1254">
        <v>66.33</v>
      </c>
      <c r="G35" s="1254">
        <v>67.430000000000007</v>
      </c>
      <c r="H35" s="1254">
        <v>68.25</v>
      </c>
      <c r="I35" s="1255">
        <v>65.89</v>
      </c>
      <c r="J35" s="1253">
        <v>70.16</v>
      </c>
      <c r="K35" s="1254">
        <v>71.08</v>
      </c>
      <c r="L35" s="1254">
        <v>71.08</v>
      </c>
      <c r="M35" s="1254">
        <v>70.62</v>
      </c>
      <c r="N35" s="1254">
        <v>68.78</v>
      </c>
      <c r="O35" s="1254">
        <v>69.7</v>
      </c>
      <c r="P35" s="1254">
        <v>70.16</v>
      </c>
      <c r="Q35" s="1255">
        <v>68.319999999999993</v>
      </c>
    </row>
    <row r="36" spans="1:18">
      <c r="A36" s="123">
        <f t="shared" si="0"/>
        <v>67</v>
      </c>
      <c r="B36" s="1253">
        <v>67.430000000000007</v>
      </c>
      <c r="C36" s="1254">
        <v>68.25</v>
      </c>
      <c r="D36" s="1254">
        <v>68.25</v>
      </c>
      <c r="E36" s="1254">
        <v>68.25</v>
      </c>
      <c r="F36" s="1254">
        <v>64.98</v>
      </c>
      <c r="G36" s="1254">
        <v>66.849999999999994</v>
      </c>
      <c r="H36" s="1254">
        <v>67.430000000000007</v>
      </c>
      <c r="I36" s="1255">
        <v>64.98</v>
      </c>
      <c r="J36" s="1253">
        <v>69.7</v>
      </c>
      <c r="K36" s="1254">
        <v>70.16</v>
      </c>
      <c r="L36" s="1254">
        <v>70.16</v>
      </c>
      <c r="M36" s="1254">
        <v>70.16</v>
      </c>
      <c r="N36" s="1254">
        <v>67.400000000000006</v>
      </c>
      <c r="O36" s="1254">
        <v>69.239999999999995</v>
      </c>
      <c r="P36" s="1254">
        <v>69.7</v>
      </c>
      <c r="Q36" s="1255">
        <v>67.400000000000006</v>
      </c>
    </row>
    <row r="37" spans="1:18">
      <c r="A37" s="123">
        <f t="shared" si="0"/>
        <v>66</v>
      </c>
      <c r="B37" s="1253">
        <v>66.33</v>
      </c>
      <c r="C37" s="1254">
        <v>67.430000000000007</v>
      </c>
      <c r="D37" s="1254">
        <v>66.849999999999994</v>
      </c>
      <c r="E37" s="1254">
        <v>67.430000000000007</v>
      </c>
      <c r="F37" s="1254">
        <v>64.150000000000006</v>
      </c>
      <c r="G37" s="1254">
        <v>65.89</v>
      </c>
      <c r="H37" s="1254">
        <v>65.89</v>
      </c>
      <c r="I37" s="1255">
        <v>64.540000000000006</v>
      </c>
      <c r="J37" s="1253">
        <v>68.78</v>
      </c>
      <c r="K37" s="1254">
        <v>69.7</v>
      </c>
      <c r="L37" s="1254">
        <v>69.239999999999995</v>
      </c>
      <c r="M37" s="1254">
        <v>69.7</v>
      </c>
      <c r="N37" s="1254">
        <v>66.48</v>
      </c>
      <c r="O37" s="1254">
        <v>68.319999999999993</v>
      </c>
      <c r="P37" s="1254">
        <v>68.319999999999993</v>
      </c>
      <c r="Q37" s="1255">
        <v>66.94</v>
      </c>
    </row>
    <row r="38" spans="1:18">
      <c r="A38" s="123">
        <f t="shared" si="0"/>
        <v>65</v>
      </c>
      <c r="B38" s="1253">
        <v>65.37</v>
      </c>
      <c r="C38" s="1254">
        <v>66.33</v>
      </c>
      <c r="D38" s="1254">
        <v>65.89</v>
      </c>
      <c r="E38" s="1254">
        <v>66.33</v>
      </c>
      <c r="F38" s="1254">
        <v>63.7</v>
      </c>
      <c r="G38" s="1254">
        <v>64.540000000000006</v>
      </c>
      <c r="H38" s="1254">
        <v>65.37</v>
      </c>
      <c r="I38" s="1255">
        <v>63.7</v>
      </c>
      <c r="J38" s="1253">
        <v>67.86</v>
      </c>
      <c r="K38" s="1254">
        <v>68.78</v>
      </c>
      <c r="L38" s="1254">
        <v>68.319999999999993</v>
      </c>
      <c r="M38" s="1254">
        <v>68.78</v>
      </c>
      <c r="N38" s="1254">
        <v>66.02</v>
      </c>
      <c r="O38" s="1254">
        <v>66.94</v>
      </c>
      <c r="P38" s="1254">
        <v>67.86</v>
      </c>
      <c r="Q38" s="1255">
        <v>66.02</v>
      </c>
    </row>
    <row r="39" spans="1:18">
      <c r="A39" s="123">
        <f t="shared" si="0"/>
        <v>64</v>
      </c>
      <c r="B39" s="1253">
        <v>64.150000000000006</v>
      </c>
      <c r="C39" s="1254">
        <v>65.37</v>
      </c>
      <c r="D39" s="1254">
        <v>64.98</v>
      </c>
      <c r="E39" s="1254">
        <v>65.37</v>
      </c>
      <c r="F39" s="1254">
        <v>62.83</v>
      </c>
      <c r="G39" s="1254">
        <v>63.7</v>
      </c>
      <c r="H39" s="1254">
        <v>64.540000000000006</v>
      </c>
      <c r="I39" s="1255">
        <v>63.23</v>
      </c>
      <c r="J39" s="1253">
        <v>66.48</v>
      </c>
      <c r="K39" s="1254">
        <v>67.86</v>
      </c>
      <c r="L39" s="1254">
        <v>67.400000000000006</v>
      </c>
      <c r="M39" s="1254">
        <v>67.86</v>
      </c>
      <c r="N39" s="1254">
        <v>65.099999999999994</v>
      </c>
      <c r="O39" s="1254">
        <v>66.02</v>
      </c>
      <c r="P39" s="1254">
        <v>66.94</v>
      </c>
      <c r="Q39" s="1255">
        <v>65.56</v>
      </c>
    </row>
    <row r="40" spans="1:18">
      <c r="A40" s="123">
        <f t="shared" si="0"/>
        <v>63</v>
      </c>
      <c r="B40" s="1253">
        <v>62.83</v>
      </c>
      <c r="C40" s="1254">
        <v>63.7</v>
      </c>
      <c r="D40" s="1254">
        <v>63.7</v>
      </c>
      <c r="E40" s="1254">
        <v>64.150000000000006</v>
      </c>
      <c r="F40" s="1254">
        <v>61.93</v>
      </c>
      <c r="G40" s="1254">
        <v>62.83</v>
      </c>
      <c r="H40" s="1254">
        <v>63.23</v>
      </c>
      <c r="I40" s="1255">
        <v>62.38</v>
      </c>
      <c r="J40" s="1253">
        <v>65.099999999999994</v>
      </c>
      <c r="K40" s="1254">
        <v>66.02</v>
      </c>
      <c r="L40" s="1254">
        <v>66.02</v>
      </c>
      <c r="M40" s="1254">
        <v>66.48</v>
      </c>
      <c r="N40" s="1254">
        <v>64.180000000000007</v>
      </c>
      <c r="O40" s="1254">
        <v>65.099999999999994</v>
      </c>
      <c r="P40" s="1254">
        <v>65.56</v>
      </c>
      <c r="Q40" s="1255">
        <v>64.64</v>
      </c>
    </row>
    <row r="41" spans="1:18">
      <c r="A41" s="123">
        <f t="shared" si="0"/>
        <v>62</v>
      </c>
      <c r="B41" s="1253">
        <v>61.93</v>
      </c>
      <c r="C41" s="1254">
        <v>61.93</v>
      </c>
      <c r="D41" s="1254">
        <v>62.83</v>
      </c>
      <c r="E41" s="1254">
        <v>62.83</v>
      </c>
      <c r="F41" s="1254">
        <v>61.39</v>
      </c>
      <c r="G41" s="1254">
        <v>61.93</v>
      </c>
      <c r="H41" s="1254">
        <v>61.93</v>
      </c>
      <c r="I41" s="1255">
        <v>61.39</v>
      </c>
      <c r="J41" s="1253">
        <v>64.180000000000007</v>
      </c>
      <c r="K41" s="1254">
        <v>64.180000000000007</v>
      </c>
      <c r="L41" s="1254">
        <v>65.099999999999994</v>
      </c>
      <c r="M41" s="1254">
        <v>65.099999999999994</v>
      </c>
      <c r="N41" s="1254">
        <v>63.72</v>
      </c>
      <c r="O41" s="1254">
        <v>64.180000000000007</v>
      </c>
      <c r="P41" s="1254">
        <v>64.180000000000007</v>
      </c>
      <c r="Q41" s="1255">
        <v>63.72</v>
      </c>
    </row>
    <row r="42" spans="1:18" s="10" customFormat="1" ht="14.25" thickBot="1">
      <c r="A42" s="124">
        <f t="shared" si="0"/>
        <v>61</v>
      </c>
      <c r="B42" s="1256">
        <v>60.85</v>
      </c>
      <c r="C42" s="1257">
        <v>60.85</v>
      </c>
      <c r="D42" s="1257">
        <v>61.93</v>
      </c>
      <c r="E42" s="1257">
        <v>61.93</v>
      </c>
      <c r="F42" s="1257">
        <v>60.3</v>
      </c>
      <c r="G42" s="1257">
        <v>60.85</v>
      </c>
      <c r="H42" s="1257">
        <v>60.85</v>
      </c>
      <c r="I42" s="1258">
        <v>60.85</v>
      </c>
      <c r="J42" s="1256">
        <v>63.26</v>
      </c>
      <c r="K42" s="1257">
        <v>63.26</v>
      </c>
      <c r="L42" s="1257">
        <v>64.180000000000007</v>
      </c>
      <c r="M42" s="1257">
        <v>64.180000000000007</v>
      </c>
      <c r="N42" s="1257">
        <v>62.8</v>
      </c>
      <c r="O42" s="1257">
        <v>63.26</v>
      </c>
      <c r="P42" s="1257">
        <v>63.26</v>
      </c>
      <c r="Q42" s="1258">
        <v>63.26</v>
      </c>
      <c r="R42" s="21"/>
    </row>
    <row r="43" spans="1:18" s="16" customFormat="1">
      <c r="A43" s="127">
        <f t="shared" si="0"/>
        <v>60</v>
      </c>
      <c r="B43" s="1259">
        <v>59.81</v>
      </c>
      <c r="C43" s="1260">
        <v>59.26</v>
      </c>
      <c r="D43" s="1260">
        <v>60.85</v>
      </c>
      <c r="E43" s="1260">
        <v>60.3</v>
      </c>
      <c r="F43" s="1260">
        <v>59.81</v>
      </c>
      <c r="G43" s="1260">
        <v>60.3</v>
      </c>
      <c r="H43" s="1260">
        <v>60.3</v>
      </c>
      <c r="I43" s="1261">
        <v>59.81</v>
      </c>
      <c r="J43" s="1259">
        <v>62.34</v>
      </c>
      <c r="K43" s="1260">
        <v>61.88</v>
      </c>
      <c r="L43" s="1260">
        <v>63.26</v>
      </c>
      <c r="M43" s="1260">
        <v>62.8</v>
      </c>
      <c r="N43" s="1260">
        <v>62.34</v>
      </c>
      <c r="O43" s="1260">
        <v>62.8</v>
      </c>
      <c r="P43" s="1260">
        <v>62.8</v>
      </c>
      <c r="Q43" s="1261">
        <v>62.34</v>
      </c>
    </row>
    <row r="44" spans="1:18" s="16" customFormat="1">
      <c r="A44" s="125">
        <f t="shared" si="0"/>
        <v>59</v>
      </c>
      <c r="B44" s="1253">
        <v>58.79</v>
      </c>
      <c r="C44" s="1254">
        <v>57.93</v>
      </c>
      <c r="D44" s="1254">
        <v>58.79</v>
      </c>
      <c r="E44" s="1254">
        <v>59.26</v>
      </c>
      <c r="F44" s="1254">
        <v>59.26</v>
      </c>
      <c r="G44" s="1254">
        <v>59.26</v>
      </c>
      <c r="H44" s="1254">
        <v>58.79</v>
      </c>
      <c r="I44" s="1261">
        <v>59.26</v>
      </c>
      <c r="J44" s="1253">
        <v>61.42</v>
      </c>
      <c r="K44" s="1254">
        <v>60.5</v>
      </c>
      <c r="L44" s="1254">
        <v>61.42</v>
      </c>
      <c r="M44" s="1254">
        <v>61.88</v>
      </c>
      <c r="N44" s="1254">
        <v>61.88</v>
      </c>
      <c r="O44" s="1254">
        <v>61.88</v>
      </c>
      <c r="P44" s="1254">
        <v>61.42</v>
      </c>
      <c r="Q44" s="1261">
        <v>61.88</v>
      </c>
      <c r="R44" s="22"/>
    </row>
    <row r="45" spans="1:18">
      <c r="A45" s="123">
        <f t="shared" si="0"/>
        <v>58</v>
      </c>
      <c r="B45" s="1253">
        <v>57.93</v>
      </c>
      <c r="C45" s="1254">
        <v>56.87</v>
      </c>
      <c r="D45" s="1254">
        <v>56.87</v>
      </c>
      <c r="E45" s="1254">
        <v>57.93</v>
      </c>
      <c r="F45" s="1254">
        <v>58.38</v>
      </c>
      <c r="G45" s="1254">
        <v>58.38</v>
      </c>
      <c r="H45" s="1254">
        <v>57.38</v>
      </c>
      <c r="I45" s="1255">
        <v>58.79</v>
      </c>
      <c r="J45" s="1253">
        <v>60.5</v>
      </c>
      <c r="K45" s="1254">
        <v>59.58</v>
      </c>
      <c r="L45" s="1254">
        <v>59.58</v>
      </c>
      <c r="M45" s="1254">
        <v>60.5</v>
      </c>
      <c r="N45" s="1254">
        <v>60.96</v>
      </c>
      <c r="O45" s="1254">
        <v>60.96</v>
      </c>
      <c r="P45" s="1254">
        <v>60.04</v>
      </c>
      <c r="Q45" s="1255">
        <v>61.42</v>
      </c>
    </row>
    <row r="46" spans="1:18">
      <c r="A46" s="123">
        <f t="shared" si="0"/>
        <v>57</v>
      </c>
      <c r="B46" s="1253">
        <v>56.87</v>
      </c>
      <c r="C46" s="1254">
        <v>55.22</v>
      </c>
      <c r="D46" s="1254">
        <v>56.04</v>
      </c>
      <c r="E46" s="1254">
        <v>56.87</v>
      </c>
      <c r="F46" s="1254">
        <v>57.93</v>
      </c>
      <c r="G46" s="1254">
        <v>56.87</v>
      </c>
      <c r="H46" s="1254">
        <v>56.44</v>
      </c>
      <c r="I46" s="1255">
        <v>57.93</v>
      </c>
      <c r="J46" s="1253">
        <v>59.58</v>
      </c>
      <c r="K46" s="1254">
        <v>57.74</v>
      </c>
      <c r="L46" s="1254">
        <v>58.66</v>
      </c>
      <c r="M46" s="1254">
        <v>59.58</v>
      </c>
      <c r="N46" s="1254">
        <v>60.5</v>
      </c>
      <c r="O46" s="1254">
        <v>59.58</v>
      </c>
      <c r="P46" s="1254">
        <v>59.12</v>
      </c>
      <c r="Q46" s="1255">
        <v>60.5</v>
      </c>
    </row>
    <row r="47" spans="1:18">
      <c r="A47" s="123">
        <f t="shared" si="0"/>
        <v>56</v>
      </c>
      <c r="B47" s="1253">
        <v>56.04</v>
      </c>
      <c r="C47" s="1254">
        <v>53.93</v>
      </c>
      <c r="D47" s="1254">
        <v>54.77</v>
      </c>
      <c r="E47" s="1254">
        <v>55.67</v>
      </c>
      <c r="F47" s="1254">
        <v>57.38</v>
      </c>
      <c r="G47" s="1254">
        <v>55.67</v>
      </c>
      <c r="H47" s="1254">
        <v>55.22</v>
      </c>
      <c r="I47" s="1255">
        <v>57.38</v>
      </c>
      <c r="J47" s="1253">
        <v>58.66</v>
      </c>
      <c r="K47" s="1254">
        <v>56.36</v>
      </c>
      <c r="L47" s="1254">
        <v>57.28</v>
      </c>
      <c r="M47" s="1254">
        <v>58.2</v>
      </c>
      <c r="N47" s="1254">
        <v>60.04</v>
      </c>
      <c r="O47" s="1254">
        <v>58.2</v>
      </c>
      <c r="P47" s="1254">
        <v>57.74</v>
      </c>
      <c r="Q47" s="1255">
        <v>60.04</v>
      </c>
    </row>
    <row r="48" spans="1:18">
      <c r="A48" s="123">
        <f t="shared" si="0"/>
        <v>55</v>
      </c>
      <c r="B48" s="1253">
        <v>54.77</v>
      </c>
      <c r="C48" s="1254">
        <v>53.02</v>
      </c>
      <c r="D48" s="1254">
        <v>53.93</v>
      </c>
      <c r="E48" s="1254">
        <v>54.35</v>
      </c>
      <c r="F48" s="1254">
        <v>56.87</v>
      </c>
      <c r="G48" s="1254">
        <v>55.22</v>
      </c>
      <c r="H48" s="1254">
        <v>53.93</v>
      </c>
      <c r="I48" s="1255">
        <v>56.44</v>
      </c>
      <c r="J48" s="1253">
        <v>57.28</v>
      </c>
      <c r="K48" s="1254">
        <v>55.44</v>
      </c>
      <c r="L48" s="1254">
        <v>56.36</v>
      </c>
      <c r="M48" s="1254">
        <v>56.82</v>
      </c>
      <c r="N48" s="1254">
        <v>59.58</v>
      </c>
      <c r="O48" s="1254">
        <v>57.74</v>
      </c>
      <c r="P48" s="1254">
        <v>56.36</v>
      </c>
      <c r="Q48" s="1255">
        <v>59.12</v>
      </c>
    </row>
    <row r="49" spans="1:40">
      <c r="A49" s="123">
        <f t="shared" si="0"/>
        <v>54</v>
      </c>
      <c r="B49" s="1253">
        <v>53.45</v>
      </c>
      <c r="C49" s="1254">
        <v>52.2</v>
      </c>
      <c r="D49" s="1254">
        <v>52.59</v>
      </c>
      <c r="E49" s="1254">
        <v>53.02</v>
      </c>
      <c r="F49" s="1254">
        <v>56.04</v>
      </c>
      <c r="G49" s="1254">
        <v>54.35</v>
      </c>
      <c r="H49" s="1254">
        <v>53.45</v>
      </c>
      <c r="I49" s="1255">
        <v>55.67</v>
      </c>
      <c r="J49" s="1253">
        <v>55.9</v>
      </c>
      <c r="K49" s="1254">
        <v>54.52</v>
      </c>
      <c r="L49" s="1254">
        <v>54.98</v>
      </c>
      <c r="M49" s="1254">
        <v>55.44</v>
      </c>
      <c r="N49" s="1254">
        <v>58.66</v>
      </c>
      <c r="O49" s="1254">
        <v>56.82</v>
      </c>
      <c r="P49" s="1254">
        <v>55.9</v>
      </c>
      <c r="Q49" s="1255">
        <v>58.2</v>
      </c>
    </row>
    <row r="50" spans="1:40">
      <c r="A50" s="123">
        <f t="shared" si="0"/>
        <v>53</v>
      </c>
      <c r="B50" s="1262">
        <v>52.59</v>
      </c>
      <c r="C50" s="1263">
        <v>51.5</v>
      </c>
      <c r="D50" s="1263">
        <v>51.85</v>
      </c>
      <c r="E50" s="1263">
        <v>51.5</v>
      </c>
      <c r="F50" s="1263">
        <v>55.22</v>
      </c>
      <c r="G50" s="1263">
        <v>53.45</v>
      </c>
      <c r="H50" s="1263">
        <v>52.59</v>
      </c>
      <c r="I50" s="1264">
        <v>54.77</v>
      </c>
      <c r="J50" s="1262">
        <v>54.96</v>
      </c>
      <c r="K50" s="1263">
        <v>53.6</v>
      </c>
      <c r="L50" s="1263">
        <v>54.06</v>
      </c>
      <c r="M50" s="1263">
        <v>53.6</v>
      </c>
      <c r="N50" s="1263">
        <v>57.74</v>
      </c>
      <c r="O50" s="1263">
        <v>55.9</v>
      </c>
      <c r="P50" s="1263">
        <v>54.98</v>
      </c>
      <c r="Q50" s="1264">
        <v>57.28</v>
      </c>
    </row>
    <row r="51" spans="1:40">
      <c r="A51" s="123">
        <f t="shared" si="0"/>
        <v>52</v>
      </c>
      <c r="B51" s="1253">
        <v>51.5</v>
      </c>
      <c r="C51" s="1254">
        <v>50.76</v>
      </c>
      <c r="D51" s="1254">
        <v>51.11</v>
      </c>
      <c r="E51" s="1254">
        <v>50.15</v>
      </c>
      <c r="F51" s="1254">
        <v>54.77</v>
      </c>
      <c r="G51" s="1254">
        <v>52.59</v>
      </c>
      <c r="H51" s="1254">
        <v>51.5</v>
      </c>
      <c r="I51" s="1255">
        <v>53.93</v>
      </c>
      <c r="J51" s="1253">
        <v>53.6</v>
      </c>
      <c r="K51" s="1254">
        <v>52.68</v>
      </c>
      <c r="L51" s="1254">
        <v>53.14</v>
      </c>
      <c r="M51" s="1254">
        <v>51.76</v>
      </c>
      <c r="N51" s="1254">
        <v>57.28</v>
      </c>
      <c r="O51" s="1254">
        <v>54.98</v>
      </c>
      <c r="P51" s="1254">
        <v>53.6</v>
      </c>
      <c r="Q51" s="1255">
        <v>56.36</v>
      </c>
    </row>
    <row r="52" spans="1:40" s="10" customFormat="1" ht="14.25" thickBot="1">
      <c r="A52" s="124">
        <f t="shared" si="0"/>
        <v>51</v>
      </c>
      <c r="B52" s="1247">
        <v>50.76</v>
      </c>
      <c r="C52" s="1248">
        <v>49.82</v>
      </c>
      <c r="D52" s="1248">
        <v>49.82</v>
      </c>
      <c r="E52" s="1248">
        <v>49.13</v>
      </c>
      <c r="F52" s="1248">
        <v>53.93</v>
      </c>
      <c r="G52" s="1248">
        <v>51.5</v>
      </c>
      <c r="H52" s="1248">
        <v>50.46</v>
      </c>
      <c r="I52" s="1249">
        <v>53.02</v>
      </c>
      <c r="J52" s="1247">
        <v>52.68</v>
      </c>
      <c r="K52" s="1248">
        <v>51.3</v>
      </c>
      <c r="L52" s="1248">
        <v>51.3</v>
      </c>
      <c r="M52" s="1248">
        <v>50.38</v>
      </c>
      <c r="N52" s="1248">
        <v>56.36</v>
      </c>
      <c r="O52" s="1248">
        <v>53.6</v>
      </c>
      <c r="P52" s="1248">
        <v>52.22</v>
      </c>
      <c r="Q52" s="1249">
        <v>55.44</v>
      </c>
      <c r="R52" s="21"/>
    </row>
    <row r="53" spans="1:40" s="16" customFormat="1">
      <c r="A53" s="125">
        <f t="shared" si="0"/>
        <v>50</v>
      </c>
      <c r="B53" s="1250">
        <v>49.82</v>
      </c>
      <c r="C53" s="1251">
        <v>48.86</v>
      </c>
      <c r="D53" s="1251">
        <v>48.57</v>
      </c>
      <c r="E53" s="1251">
        <v>48.25</v>
      </c>
      <c r="F53" s="1265">
        <v>52.59</v>
      </c>
      <c r="G53" s="1265">
        <v>50.76</v>
      </c>
      <c r="H53" s="1251">
        <v>49.82</v>
      </c>
      <c r="I53" s="1252">
        <v>52.2</v>
      </c>
      <c r="J53" s="1250">
        <v>51.3</v>
      </c>
      <c r="K53" s="1251">
        <v>49.92</v>
      </c>
      <c r="L53" s="1251">
        <v>49.46</v>
      </c>
      <c r="M53" s="1251">
        <v>49</v>
      </c>
      <c r="N53" s="1265">
        <v>54.98</v>
      </c>
      <c r="O53" s="1265">
        <v>52.68</v>
      </c>
      <c r="P53" s="1251">
        <v>51.3</v>
      </c>
      <c r="Q53" s="1252">
        <v>54.52</v>
      </c>
      <c r="R53" s="22"/>
    </row>
    <row r="54" spans="1:40">
      <c r="A54" s="123">
        <f t="shared" si="0"/>
        <v>49</v>
      </c>
      <c r="B54" s="1253">
        <v>49.13</v>
      </c>
      <c r="C54" s="1266">
        <v>48.25</v>
      </c>
      <c r="D54" s="1254">
        <v>47.93</v>
      </c>
      <c r="E54" s="1254">
        <v>47.34</v>
      </c>
      <c r="F54" s="1254">
        <v>51.5</v>
      </c>
      <c r="G54" s="1254">
        <v>49.82</v>
      </c>
      <c r="H54" s="1254">
        <v>49.13</v>
      </c>
      <c r="I54" s="1255">
        <v>50.76</v>
      </c>
      <c r="J54" s="1253">
        <v>50.38</v>
      </c>
      <c r="K54" s="1266">
        <v>49</v>
      </c>
      <c r="L54" s="1254">
        <v>48.54</v>
      </c>
      <c r="M54" s="1254">
        <v>47.62</v>
      </c>
      <c r="N54" s="1254">
        <v>53.6</v>
      </c>
      <c r="O54" s="1254">
        <v>51.3</v>
      </c>
      <c r="P54" s="1254">
        <v>50.38</v>
      </c>
      <c r="Q54" s="1255">
        <v>52.68</v>
      </c>
    </row>
    <row r="55" spans="1:40">
      <c r="A55" s="123">
        <f t="shared" si="0"/>
        <v>48</v>
      </c>
      <c r="B55" s="1253">
        <v>48.25</v>
      </c>
      <c r="C55" s="1254">
        <v>47.63</v>
      </c>
      <c r="D55" s="1254">
        <v>47.08</v>
      </c>
      <c r="E55" s="1254">
        <v>46.52</v>
      </c>
      <c r="F55" s="1254">
        <v>50.15</v>
      </c>
      <c r="G55" s="1254">
        <v>48.57</v>
      </c>
      <c r="H55" s="1254">
        <v>47.93</v>
      </c>
      <c r="I55" s="1255">
        <v>49.47</v>
      </c>
      <c r="J55" s="1253">
        <v>49</v>
      </c>
      <c r="K55" s="1254">
        <v>48.08</v>
      </c>
      <c r="L55" s="1254">
        <v>47.16</v>
      </c>
      <c r="M55" s="1254">
        <v>46.24</v>
      </c>
      <c r="N55" s="1254">
        <v>51.76</v>
      </c>
      <c r="O55" s="1254">
        <v>49.46</v>
      </c>
      <c r="P55" s="1254">
        <v>48.54</v>
      </c>
      <c r="Q55" s="1255">
        <v>50.84</v>
      </c>
    </row>
    <row r="56" spans="1:40">
      <c r="A56" s="123">
        <f t="shared" si="0"/>
        <v>47</v>
      </c>
      <c r="B56" s="1253">
        <v>47.34</v>
      </c>
      <c r="C56" s="1254">
        <v>46.81</v>
      </c>
      <c r="D56" s="1254">
        <v>46.24</v>
      </c>
      <c r="E56" s="1254">
        <v>45.71</v>
      </c>
      <c r="F56" s="1254">
        <v>49.13</v>
      </c>
      <c r="G56" s="1254">
        <v>47.08</v>
      </c>
      <c r="H56" s="1254">
        <v>47.08</v>
      </c>
      <c r="I56" s="1255">
        <v>48.25</v>
      </c>
      <c r="J56" s="1253">
        <v>47.62</v>
      </c>
      <c r="K56" s="1254">
        <v>46.7</v>
      </c>
      <c r="L56" s="1254">
        <v>45.78</v>
      </c>
      <c r="M56" s="1254">
        <v>44.86</v>
      </c>
      <c r="N56" s="1254">
        <v>50.38</v>
      </c>
      <c r="O56" s="1254">
        <v>47.16</v>
      </c>
      <c r="P56" s="1254">
        <v>47.16</v>
      </c>
      <c r="Q56" s="1255">
        <v>49</v>
      </c>
    </row>
    <row r="57" spans="1:40">
      <c r="A57" s="123">
        <f t="shared" si="0"/>
        <v>46</v>
      </c>
      <c r="B57" s="1253">
        <v>45.71</v>
      </c>
      <c r="C57" s="1254">
        <v>46.24</v>
      </c>
      <c r="D57" s="1254">
        <v>45.48</v>
      </c>
      <c r="E57" s="1254">
        <v>45.02</v>
      </c>
      <c r="F57" s="1254">
        <v>47.34</v>
      </c>
      <c r="G57" s="1254">
        <v>45.96</v>
      </c>
      <c r="H57" s="1254">
        <v>46.24</v>
      </c>
      <c r="I57" s="1255">
        <v>47.08</v>
      </c>
      <c r="J57" s="1253">
        <v>44.86</v>
      </c>
      <c r="K57" s="1254">
        <v>45.78</v>
      </c>
      <c r="L57" s="1254">
        <v>44.4</v>
      </c>
      <c r="M57" s="1254">
        <v>43.48</v>
      </c>
      <c r="N57" s="1254">
        <v>47.62</v>
      </c>
      <c r="O57" s="1254">
        <v>45.32</v>
      </c>
      <c r="P57" s="1254">
        <v>45.78</v>
      </c>
      <c r="Q57" s="1255">
        <v>47.16</v>
      </c>
    </row>
    <row r="58" spans="1:40">
      <c r="A58" s="123">
        <f t="shared" si="0"/>
        <v>45</v>
      </c>
      <c r="B58" s="1253">
        <v>44.5</v>
      </c>
      <c r="C58" s="1254">
        <v>45.02</v>
      </c>
      <c r="D58" s="1254">
        <v>44.76</v>
      </c>
      <c r="E58" s="1254">
        <v>44.5</v>
      </c>
      <c r="F58" s="1254">
        <v>45.48</v>
      </c>
      <c r="G58" s="1254">
        <v>45.02</v>
      </c>
      <c r="H58" s="1254">
        <v>45.71</v>
      </c>
      <c r="I58" s="1255">
        <v>45.96</v>
      </c>
      <c r="J58" s="1253">
        <v>42.56</v>
      </c>
      <c r="K58" s="1254">
        <v>43.48</v>
      </c>
      <c r="L58" s="1254">
        <v>43.02</v>
      </c>
      <c r="M58" s="1254">
        <v>42.56</v>
      </c>
      <c r="N58" s="1254">
        <v>44.4</v>
      </c>
      <c r="O58" s="1254">
        <v>43.48</v>
      </c>
      <c r="P58" s="1254">
        <v>44.86</v>
      </c>
      <c r="Q58" s="1255">
        <v>45.32</v>
      </c>
    </row>
    <row r="59" spans="1:40">
      <c r="A59" s="123">
        <f t="shared" si="0"/>
        <v>44</v>
      </c>
      <c r="B59" s="1253">
        <v>43.72</v>
      </c>
      <c r="C59" s="1254">
        <v>43.99</v>
      </c>
      <c r="D59" s="1254">
        <v>43.99</v>
      </c>
      <c r="E59" s="1254">
        <v>43.72</v>
      </c>
      <c r="F59" s="1254">
        <v>44.24</v>
      </c>
      <c r="G59" s="1254">
        <v>43.99</v>
      </c>
      <c r="H59" s="1254">
        <v>44.5</v>
      </c>
      <c r="I59" s="1255">
        <v>44.24</v>
      </c>
      <c r="J59" s="1253">
        <v>41.18</v>
      </c>
      <c r="K59" s="1254">
        <v>41.64</v>
      </c>
      <c r="L59" s="1254">
        <v>41.64</v>
      </c>
      <c r="M59" s="1254">
        <v>41.18</v>
      </c>
      <c r="N59" s="1254">
        <v>42.1</v>
      </c>
      <c r="O59" s="1254">
        <v>41.64</v>
      </c>
      <c r="P59" s="1254">
        <v>42.56</v>
      </c>
      <c r="Q59" s="1255">
        <v>42.1</v>
      </c>
    </row>
    <row r="60" spans="1:40">
      <c r="A60" s="123">
        <f t="shared" si="0"/>
        <v>43</v>
      </c>
      <c r="B60" s="1253">
        <v>42.73</v>
      </c>
      <c r="C60" s="1254">
        <v>43.21</v>
      </c>
      <c r="D60" s="1254">
        <v>43.21</v>
      </c>
      <c r="E60" s="1254">
        <v>42.96</v>
      </c>
      <c r="F60" s="1254">
        <v>42.96</v>
      </c>
      <c r="G60" s="1254">
        <v>42.96</v>
      </c>
      <c r="H60" s="1254">
        <v>43.21</v>
      </c>
      <c r="I60" s="1255">
        <v>42.49</v>
      </c>
      <c r="J60" s="1253">
        <v>39.340000000000003</v>
      </c>
      <c r="K60" s="1254">
        <v>40.26</v>
      </c>
      <c r="L60" s="1254">
        <v>40.26</v>
      </c>
      <c r="M60" s="1254">
        <v>39.799999999999997</v>
      </c>
      <c r="N60" s="1254">
        <v>39.799999999999997</v>
      </c>
      <c r="O60" s="1254">
        <v>39.799999999999997</v>
      </c>
      <c r="P60" s="1254">
        <v>40.26</v>
      </c>
      <c r="Q60" s="1255">
        <v>38.880000000000003</v>
      </c>
    </row>
    <row r="61" spans="1:40">
      <c r="A61" s="123">
        <f t="shared" si="0"/>
        <v>42</v>
      </c>
      <c r="B61" s="1253">
        <v>41.81</v>
      </c>
      <c r="C61" s="1254">
        <v>42.26</v>
      </c>
      <c r="D61" s="1254">
        <v>42.03</v>
      </c>
      <c r="E61" s="1254">
        <v>42.26</v>
      </c>
      <c r="F61" s="1254">
        <v>41.16</v>
      </c>
      <c r="G61" s="1254">
        <v>42.03</v>
      </c>
      <c r="H61" s="1254">
        <v>42.49</v>
      </c>
      <c r="I61" s="1255">
        <v>41.37</v>
      </c>
      <c r="J61" s="1253">
        <v>37.5</v>
      </c>
      <c r="K61" s="1254">
        <v>38.42</v>
      </c>
      <c r="L61" s="1254">
        <v>37.96</v>
      </c>
      <c r="M61" s="1254">
        <v>38.42</v>
      </c>
      <c r="N61" s="1254">
        <v>36.119999999999997</v>
      </c>
      <c r="O61" s="1254">
        <v>37.96</v>
      </c>
      <c r="P61" s="1254">
        <v>38.880000000000003</v>
      </c>
      <c r="Q61" s="1255">
        <v>36.58</v>
      </c>
    </row>
    <row r="62" spans="1:40" s="15" customFormat="1" ht="14.25" thickBot="1">
      <c r="A62" s="126">
        <f t="shared" si="0"/>
        <v>41</v>
      </c>
      <c r="B62" s="1256">
        <v>40.950000000000003</v>
      </c>
      <c r="C62" s="1257">
        <v>41.58</v>
      </c>
      <c r="D62" s="1257">
        <v>40.950000000000003</v>
      </c>
      <c r="E62" s="1257">
        <v>41.16</v>
      </c>
      <c r="F62" s="1257">
        <v>39.56</v>
      </c>
      <c r="G62" s="1257">
        <v>41.16</v>
      </c>
      <c r="H62" s="1257">
        <v>41.58</v>
      </c>
      <c r="I62" s="1258">
        <v>40.229999999999997</v>
      </c>
      <c r="J62" s="1256">
        <v>35.659999999999997</v>
      </c>
      <c r="K62" s="1257">
        <v>37.04</v>
      </c>
      <c r="L62" s="1257">
        <v>35.659999999999997</v>
      </c>
      <c r="M62" s="1257">
        <v>36.119999999999997</v>
      </c>
      <c r="N62" s="1257">
        <v>32.9</v>
      </c>
      <c r="O62" s="1257">
        <v>36.119999999999997</v>
      </c>
      <c r="P62" s="1257">
        <v>37.04</v>
      </c>
      <c r="Q62" s="1258">
        <v>34.28</v>
      </c>
      <c r="R62" s="2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 s="17" customFormat="1">
      <c r="A63" s="122">
        <f t="shared" si="0"/>
        <v>40</v>
      </c>
      <c r="B63" s="1259">
        <v>40.229999999999997</v>
      </c>
      <c r="C63" s="1260">
        <v>40.700000000000003</v>
      </c>
      <c r="D63" s="1260">
        <v>40.229999999999997</v>
      </c>
      <c r="E63" s="1260">
        <v>40.229999999999997</v>
      </c>
      <c r="F63" s="1260">
        <v>38.75</v>
      </c>
      <c r="G63" s="1260">
        <v>40.229999999999997</v>
      </c>
      <c r="H63" s="1260">
        <v>40.46</v>
      </c>
      <c r="I63" s="1261">
        <v>38.75</v>
      </c>
      <c r="J63" s="1259">
        <v>34.28</v>
      </c>
      <c r="K63" s="1260">
        <v>35.200000000000003</v>
      </c>
      <c r="L63" s="1260">
        <v>34.28</v>
      </c>
      <c r="M63" s="1260">
        <v>34.29</v>
      </c>
      <c r="N63" s="1260">
        <v>31.52</v>
      </c>
      <c r="O63" s="1260">
        <v>34.28</v>
      </c>
      <c r="P63" s="1260">
        <v>34.74</v>
      </c>
      <c r="Q63" s="1261">
        <v>31.52</v>
      </c>
      <c r="R63" s="22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>
      <c r="A64" s="123">
        <f t="shared" si="0"/>
        <v>39</v>
      </c>
      <c r="B64" s="1259">
        <v>39.299999999999997</v>
      </c>
      <c r="C64" s="1260">
        <v>39.56</v>
      </c>
      <c r="D64" s="1260">
        <v>39.56</v>
      </c>
      <c r="E64" s="1260">
        <v>39.56</v>
      </c>
      <c r="F64" s="1260">
        <v>37.53</v>
      </c>
      <c r="G64" s="1260">
        <v>39.04</v>
      </c>
      <c r="H64" s="1260">
        <v>39.04</v>
      </c>
      <c r="I64" s="1261">
        <v>37.200000000000003</v>
      </c>
      <c r="J64" s="1259">
        <v>32.44</v>
      </c>
      <c r="K64" s="1260">
        <v>32.9</v>
      </c>
      <c r="L64" s="1260">
        <v>32.9</v>
      </c>
      <c r="M64" s="1260">
        <v>32.9</v>
      </c>
      <c r="N64" s="1260">
        <v>29.68</v>
      </c>
      <c r="O64" s="1260">
        <v>31.98</v>
      </c>
      <c r="P64" s="1260">
        <v>31.98</v>
      </c>
      <c r="Q64" s="1261">
        <v>29.22</v>
      </c>
    </row>
    <row r="65" spans="1:18">
      <c r="A65" s="123">
        <f t="shared" si="0"/>
        <v>38</v>
      </c>
      <c r="B65" s="1253">
        <v>38.43</v>
      </c>
      <c r="C65" s="1254">
        <v>38.43</v>
      </c>
      <c r="D65" s="1254">
        <v>38.75</v>
      </c>
      <c r="E65" s="1254">
        <v>38.75</v>
      </c>
      <c r="F65" s="1254">
        <v>35.97</v>
      </c>
      <c r="G65" s="1254">
        <v>37.53</v>
      </c>
      <c r="H65" s="1254">
        <v>38.11</v>
      </c>
      <c r="I65" s="1255">
        <v>36.4</v>
      </c>
      <c r="J65" s="1253">
        <v>31.06</v>
      </c>
      <c r="K65" s="1254">
        <v>31.06</v>
      </c>
      <c r="L65" s="1254">
        <v>31.52</v>
      </c>
      <c r="M65" s="1254">
        <v>31.52</v>
      </c>
      <c r="N65" s="1254">
        <v>27.84</v>
      </c>
      <c r="O65" s="1254">
        <v>29.68</v>
      </c>
      <c r="P65" s="1254">
        <v>30.6</v>
      </c>
      <c r="Q65" s="1255">
        <v>28.3</v>
      </c>
    </row>
    <row r="66" spans="1:18">
      <c r="A66" s="123">
        <f t="shared" si="0"/>
        <v>37</v>
      </c>
      <c r="B66" s="1253">
        <v>37.200000000000003</v>
      </c>
      <c r="C66" s="1254">
        <v>37.53</v>
      </c>
      <c r="D66" s="1254">
        <v>38.11</v>
      </c>
      <c r="E66" s="1254">
        <v>38.11</v>
      </c>
      <c r="F66" s="1254">
        <v>34.369999999999997</v>
      </c>
      <c r="G66" s="1254">
        <v>36.4</v>
      </c>
      <c r="H66" s="1254">
        <v>36.81</v>
      </c>
      <c r="I66" s="1255">
        <v>35.31</v>
      </c>
      <c r="J66" s="1253">
        <v>29.22</v>
      </c>
      <c r="K66" s="1254">
        <v>29.68</v>
      </c>
      <c r="L66" s="1254">
        <v>30.6</v>
      </c>
      <c r="M66" s="1254">
        <v>30.6</v>
      </c>
      <c r="N66" s="1254">
        <v>26.92</v>
      </c>
      <c r="O66" s="1254">
        <v>28.3</v>
      </c>
      <c r="P66" s="1254">
        <v>28.76</v>
      </c>
      <c r="Q66" s="1255">
        <v>27.38</v>
      </c>
    </row>
    <row r="67" spans="1:18">
      <c r="A67" s="123">
        <f t="shared" si="0"/>
        <v>36</v>
      </c>
      <c r="B67" s="1253">
        <v>35.97</v>
      </c>
      <c r="C67" s="1254">
        <v>36.81</v>
      </c>
      <c r="D67" s="1254">
        <v>37.200000000000003</v>
      </c>
      <c r="E67" s="1254">
        <v>37.53</v>
      </c>
      <c r="F67" s="1254">
        <v>33.369999999999997</v>
      </c>
      <c r="G67" s="1254">
        <v>35.31</v>
      </c>
      <c r="H67" s="1254">
        <v>35.31</v>
      </c>
      <c r="I67" s="1255">
        <v>34.369999999999997</v>
      </c>
      <c r="J67" s="1253">
        <v>27.84</v>
      </c>
      <c r="K67" s="1254">
        <v>28.76</v>
      </c>
      <c r="L67" s="1254">
        <v>29.22</v>
      </c>
      <c r="M67" s="1254">
        <v>29.68</v>
      </c>
      <c r="N67" s="1254">
        <v>26.46</v>
      </c>
      <c r="O67" s="1254">
        <v>27.38</v>
      </c>
      <c r="P67" s="1254">
        <v>27.38</v>
      </c>
      <c r="Q67" s="1255">
        <v>26.92</v>
      </c>
    </row>
    <row r="68" spans="1:18">
      <c r="A68" s="123">
        <f t="shared" ref="A68:A103" si="1">103-ROW()</f>
        <v>35</v>
      </c>
      <c r="B68" s="1253">
        <v>35.31</v>
      </c>
      <c r="C68" s="1254">
        <v>35.97</v>
      </c>
      <c r="D68" s="1254">
        <v>36.4</v>
      </c>
      <c r="E68" s="1254">
        <v>36.81</v>
      </c>
      <c r="F68" s="1254">
        <v>32.49</v>
      </c>
      <c r="G68" s="1254">
        <v>34.369999999999997</v>
      </c>
      <c r="H68" s="1254">
        <v>34.369999999999997</v>
      </c>
      <c r="I68" s="1255">
        <v>33.369999999999997</v>
      </c>
      <c r="J68" s="1253">
        <v>27.38</v>
      </c>
      <c r="K68" s="1254">
        <v>27.84</v>
      </c>
      <c r="L68" s="1254">
        <v>28.3</v>
      </c>
      <c r="M68" s="1254">
        <v>28.76</v>
      </c>
      <c r="N68" s="1254">
        <v>26.46</v>
      </c>
      <c r="O68" s="1254">
        <v>26.96</v>
      </c>
      <c r="P68" s="1254">
        <v>26.92</v>
      </c>
      <c r="Q68" s="1255">
        <v>26.46</v>
      </c>
    </row>
    <row r="69" spans="1:18">
      <c r="A69" s="123">
        <f t="shared" si="1"/>
        <v>34</v>
      </c>
      <c r="B69" s="1253">
        <v>34.369999999999997</v>
      </c>
      <c r="C69" s="1254">
        <v>35.31</v>
      </c>
      <c r="D69" s="1254">
        <v>35.31</v>
      </c>
      <c r="E69" s="1254">
        <v>35.97</v>
      </c>
      <c r="F69" s="1254">
        <v>31.62</v>
      </c>
      <c r="G69" s="1254">
        <v>33.369999999999997</v>
      </c>
      <c r="H69" s="1254">
        <v>33.369999999999997</v>
      </c>
      <c r="I69" s="1255">
        <v>31.62</v>
      </c>
      <c r="J69" s="1253">
        <v>26.92</v>
      </c>
      <c r="K69" s="1254">
        <v>27.38</v>
      </c>
      <c r="L69" s="1254">
        <v>27.38</v>
      </c>
      <c r="M69" s="1254">
        <v>27.84</v>
      </c>
      <c r="N69" s="1254">
        <v>26</v>
      </c>
      <c r="O69" s="1254">
        <v>26.46</v>
      </c>
      <c r="P69" s="1254">
        <v>26.46</v>
      </c>
      <c r="Q69" s="1255">
        <v>26</v>
      </c>
    </row>
    <row r="70" spans="1:18">
      <c r="A70" s="123">
        <f t="shared" si="1"/>
        <v>33</v>
      </c>
      <c r="B70" s="1253">
        <v>33.369999999999997</v>
      </c>
      <c r="C70" s="1254">
        <v>34.369999999999997</v>
      </c>
      <c r="D70" s="1254">
        <v>34.369999999999997</v>
      </c>
      <c r="E70" s="1254">
        <v>35.31</v>
      </c>
      <c r="F70" s="1254">
        <v>31.62</v>
      </c>
      <c r="G70" s="1254">
        <v>32.49</v>
      </c>
      <c r="H70" s="1254">
        <v>32.49</v>
      </c>
      <c r="I70" s="1255">
        <v>31.62</v>
      </c>
      <c r="J70" s="1253">
        <v>26.46</v>
      </c>
      <c r="K70" s="1254">
        <v>26.92</v>
      </c>
      <c r="L70" s="1254">
        <v>26.92</v>
      </c>
      <c r="M70" s="1254">
        <v>27.38</v>
      </c>
      <c r="N70" s="1254">
        <v>26</v>
      </c>
      <c r="O70" s="1254">
        <v>26.46</v>
      </c>
      <c r="P70" s="1254">
        <v>26.46</v>
      </c>
      <c r="Q70" s="1255">
        <v>26</v>
      </c>
    </row>
    <row r="71" spans="1:18">
      <c r="A71" s="123">
        <f t="shared" si="1"/>
        <v>32</v>
      </c>
      <c r="B71" s="1253">
        <v>32.49</v>
      </c>
      <c r="C71" s="1254">
        <v>33.369999999999997</v>
      </c>
      <c r="D71" s="1254">
        <v>33.369999999999997</v>
      </c>
      <c r="E71" s="1254">
        <v>34.369999999999997</v>
      </c>
      <c r="F71" s="1254">
        <v>31.62</v>
      </c>
      <c r="G71" s="1254">
        <v>31.62</v>
      </c>
      <c r="H71" s="1254">
        <v>31.62</v>
      </c>
      <c r="I71" s="1255">
        <v>31.62</v>
      </c>
      <c r="J71" s="1253">
        <v>26.46</v>
      </c>
      <c r="K71" s="1254">
        <v>26.46</v>
      </c>
      <c r="L71" s="1254">
        <v>26.46</v>
      </c>
      <c r="M71" s="1254">
        <v>26.92</v>
      </c>
      <c r="N71" s="1254">
        <v>26</v>
      </c>
      <c r="O71" s="1254">
        <v>26</v>
      </c>
      <c r="P71" s="1254">
        <v>26</v>
      </c>
      <c r="Q71" s="1255">
        <v>26</v>
      </c>
    </row>
    <row r="72" spans="1:18" s="10" customFormat="1" ht="14.25" thickBot="1">
      <c r="A72" s="124">
        <f t="shared" si="1"/>
        <v>31</v>
      </c>
      <c r="B72" s="1256">
        <v>31.62</v>
      </c>
      <c r="C72" s="1257">
        <v>31.62</v>
      </c>
      <c r="D72" s="1257">
        <v>32.49</v>
      </c>
      <c r="E72" s="1257">
        <v>33.369999999999997</v>
      </c>
      <c r="F72" s="1257">
        <v>31.62</v>
      </c>
      <c r="G72" s="1257">
        <v>31.62</v>
      </c>
      <c r="H72" s="1257">
        <v>31.62</v>
      </c>
      <c r="I72" s="1258">
        <v>31.62</v>
      </c>
      <c r="J72" s="1256">
        <v>26</v>
      </c>
      <c r="K72" s="1257">
        <v>26</v>
      </c>
      <c r="L72" s="1257">
        <v>26.46</v>
      </c>
      <c r="M72" s="1257">
        <v>26.46</v>
      </c>
      <c r="N72" s="1257">
        <v>26</v>
      </c>
      <c r="O72" s="1257">
        <v>26</v>
      </c>
      <c r="P72" s="1257">
        <v>26</v>
      </c>
      <c r="Q72" s="1258">
        <v>26</v>
      </c>
      <c r="R72" s="21"/>
    </row>
    <row r="73" spans="1:18" s="17" customFormat="1">
      <c r="A73" s="122">
        <f t="shared" si="1"/>
        <v>30</v>
      </c>
      <c r="B73" s="1250">
        <v>31.62</v>
      </c>
      <c r="C73" s="1251">
        <v>31.62</v>
      </c>
      <c r="D73" s="1251">
        <v>31.62</v>
      </c>
      <c r="E73" s="1251">
        <v>32.49</v>
      </c>
      <c r="F73" s="1251">
        <v>31.62</v>
      </c>
      <c r="G73" s="1251">
        <v>31.62</v>
      </c>
      <c r="H73" s="1251">
        <v>31.62</v>
      </c>
      <c r="I73" s="1252">
        <v>31.62</v>
      </c>
      <c r="J73" s="1250">
        <v>26</v>
      </c>
      <c r="K73" s="1251">
        <v>26</v>
      </c>
      <c r="L73" s="1251">
        <v>26</v>
      </c>
      <c r="M73" s="1251">
        <v>26.46</v>
      </c>
      <c r="N73" s="1251">
        <v>26</v>
      </c>
      <c r="O73" s="1251">
        <v>26</v>
      </c>
      <c r="P73" s="1251">
        <v>26</v>
      </c>
      <c r="Q73" s="1252">
        <v>26</v>
      </c>
      <c r="R73" s="20"/>
    </row>
    <row r="74" spans="1:18">
      <c r="A74" s="123">
        <f t="shared" si="1"/>
        <v>29</v>
      </c>
      <c r="B74" s="1253">
        <v>31.62</v>
      </c>
      <c r="C74" s="1254">
        <v>31.62</v>
      </c>
      <c r="D74" s="1254">
        <v>31.62</v>
      </c>
      <c r="E74" s="1254">
        <v>31.62</v>
      </c>
      <c r="F74" s="1254">
        <v>31.62</v>
      </c>
      <c r="G74" s="1254">
        <v>31.62</v>
      </c>
      <c r="H74" s="1254">
        <v>31.62</v>
      </c>
      <c r="I74" s="1255">
        <v>31.62</v>
      </c>
      <c r="J74" s="1253">
        <v>26</v>
      </c>
      <c r="K74" s="1254">
        <v>26</v>
      </c>
      <c r="L74" s="1254">
        <v>26</v>
      </c>
      <c r="M74" s="1254">
        <v>26</v>
      </c>
      <c r="N74" s="1254">
        <v>26</v>
      </c>
      <c r="O74" s="1254">
        <v>26</v>
      </c>
      <c r="P74" s="1254">
        <v>26</v>
      </c>
      <c r="Q74" s="1255">
        <v>26</v>
      </c>
    </row>
    <row r="75" spans="1:18">
      <c r="A75" s="123">
        <f t="shared" si="1"/>
        <v>28</v>
      </c>
      <c r="B75" s="1253">
        <v>31.62</v>
      </c>
      <c r="C75" s="1254">
        <v>31.62</v>
      </c>
      <c r="D75" s="1254">
        <v>31.62</v>
      </c>
      <c r="E75" s="1254">
        <v>31.62</v>
      </c>
      <c r="F75" s="1254">
        <v>31.62</v>
      </c>
      <c r="G75" s="1254">
        <v>31.62</v>
      </c>
      <c r="H75" s="1254">
        <v>31.62</v>
      </c>
      <c r="I75" s="1255">
        <v>31.62</v>
      </c>
      <c r="J75" s="1253">
        <v>26</v>
      </c>
      <c r="K75" s="1254">
        <v>26</v>
      </c>
      <c r="L75" s="1254">
        <v>26</v>
      </c>
      <c r="M75" s="1254">
        <v>26</v>
      </c>
      <c r="N75" s="1254">
        <v>26</v>
      </c>
      <c r="O75" s="1254">
        <v>26</v>
      </c>
      <c r="P75" s="1254">
        <v>26</v>
      </c>
      <c r="Q75" s="1255">
        <v>26</v>
      </c>
    </row>
    <row r="76" spans="1:18">
      <c r="A76" s="123">
        <f t="shared" si="1"/>
        <v>27</v>
      </c>
      <c r="B76" s="1253">
        <v>31.62</v>
      </c>
      <c r="C76" s="1254">
        <v>31.62</v>
      </c>
      <c r="D76" s="1254">
        <v>31.62</v>
      </c>
      <c r="E76" s="1254">
        <v>31.62</v>
      </c>
      <c r="F76" s="1254">
        <v>31.62</v>
      </c>
      <c r="G76" s="1254">
        <v>31.62</v>
      </c>
      <c r="H76" s="1254">
        <v>31.62</v>
      </c>
      <c r="I76" s="1255">
        <v>31.62</v>
      </c>
      <c r="J76" s="1253">
        <v>26</v>
      </c>
      <c r="K76" s="1254">
        <v>26</v>
      </c>
      <c r="L76" s="1254">
        <v>26</v>
      </c>
      <c r="M76" s="1254">
        <v>26</v>
      </c>
      <c r="N76" s="1254">
        <v>26</v>
      </c>
      <c r="O76" s="1254">
        <v>26</v>
      </c>
      <c r="P76" s="1254">
        <v>26</v>
      </c>
      <c r="Q76" s="1255">
        <v>26</v>
      </c>
    </row>
    <row r="77" spans="1:18">
      <c r="A77" s="123">
        <f t="shared" si="1"/>
        <v>26</v>
      </c>
      <c r="B77" s="1253">
        <v>31.62</v>
      </c>
      <c r="C77" s="1254">
        <v>31.62</v>
      </c>
      <c r="D77" s="1254">
        <v>31.62</v>
      </c>
      <c r="E77" s="1254">
        <v>31.62</v>
      </c>
      <c r="F77" s="1254">
        <v>31.62</v>
      </c>
      <c r="G77" s="1254">
        <v>31.62</v>
      </c>
      <c r="H77" s="1254">
        <v>31.62</v>
      </c>
      <c r="I77" s="1255">
        <v>31.62</v>
      </c>
      <c r="J77" s="1253">
        <v>26</v>
      </c>
      <c r="K77" s="1254">
        <v>26</v>
      </c>
      <c r="L77" s="1254">
        <v>26</v>
      </c>
      <c r="M77" s="1254">
        <v>26</v>
      </c>
      <c r="N77" s="1254">
        <v>26</v>
      </c>
      <c r="O77" s="1254">
        <v>26</v>
      </c>
      <c r="P77" s="1254">
        <v>26</v>
      </c>
      <c r="Q77" s="1255">
        <v>26</v>
      </c>
    </row>
    <row r="78" spans="1:18">
      <c r="A78" s="123">
        <f t="shared" si="1"/>
        <v>25</v>
      </c>
      <c r="B78" s="1253">
        <v>31.62</v>
      </c>
      <c r="C78" s="1254">
        <v>31.62</v>
      </c>
      <c r="D78" s="1254">
        <v>31.62</v>
      </c>
      <c r="E78" s="1254">
        <v>31.62</v>
      </c>
      <c r="F78" s="1254">
        <v>31.62</v>
      </c>
      <c r="G78" s="1254">
        <v>31.62</v>
      </c>
      <c r="H78" s="1254">
        <v>31.62</v>
      </c>
      <c r="I78" s="1255">
        <v>31.62</v>
      </c>
      <c r="J78" s="1253">
        <v>26</v>
      </c>
      <c r="K78" s="1254">
        <v>26</v>
      </c>
      <c r="L78" s="1254">
        <v>26</v>
      </c>
      <c r="M78" s="1254">
        <v>26</v>
      </c>
      <c r="N78" s="1254">
        <v>26</v>
      </c>
      <c r="O78" s="1254">
        <v>26</v>
      </c>
      <c r="P78" s="1254">
        <v>26</v>
      </c>
      <c r="Q78" s="1255">
        <v>26</v>
      </c>
    </row>
    <row r="79" spans="1:18">
      <c r="A79" s="123">
        <f t="shared" si="1"/>
        <v>24</v>
      </c>
      <c r="B79" s="1253">
        <v>31.62</v>
      </c>
      <c r="C79" s="1254">
        <v>31.62</v>
      </c>
      <c r="D79" s="1254">
        <v>31.62</v>
      </c>
      <c r="E79" s="1254">
        <v>31.62</v>
      </c>
      <c r="F79" s="1254">
        <v>31.62</v>
      </c>
      <c r="G79" s="1254">
        <v>31.62</v>
      </c>
      <c r="H79" s="1254">
        <v>31.62</v>
      </c>
      <c r="I79" s="1255">
        <v>31.62</v>
      </c>
      <c r="J79" s="1253">
        <v>26</v>
      </c>
      <c r="K79" s="1254">
        <v>26</v>
      </c>
      <c r="L79" s="1254">
        <v>26</v>
      </c>
      <c r="M79" s="1254">
        <v>26</v>
      </c>
      <c r="N79" s="1254">
        <v>26</v>
      </c>
      <c r="O79" s="1254">
        <v>26</v>
      </c>
      <c r="P79" s="1254">
        <v>26</v>
      </c>
      <c r="Q79" s="1255">
        <v>26</v>
      </c>
    </row>
    <row r="80" spans="1:18">
      <c r="A80" s="123">
        <f t="shared" si="1"/>
        <v>23</v>
      </c>
      <c r="B80" s="1253">
        <v>31.62</v>
      </c>
      <c r="C80" s="1254">
        <v>31.62</v>
      </c>
      <c r="D80" s="1254">
        <v>31.62</v>
      </c>
      <c r="E80" s="1254">
        <v>31.62</v>
      </c>
      <c r="F80" s="1254">
        <v>31.62</v>
      </c>
      <c r="G80" s="1254">
        <v>31.62</v>
      </c>
      <c r="H80" s="1254">
        <v>31.62</v>
      </c>
      <c r="I80" s="1255">
        <v>31.62</v>
      </c>
      <c r="J80" s="1253">
        <v>26</v>
      </c>
      <c r="K80" s="1254">
        <v>26</v>
      </c>
      <c r="L80" s="1254">
        <v>26</v>
      </c>
      <c r="M80" s="1254">
        <v>26</v>
      </c>
      <c r="N80" s="1254">
        <v>26</v>
      </c>
      <c r="O80" s="1254">
        <v>26</v>
      </c>
      <c r="P80" s="1254">
        <v>26</v>
      </c>
      <c r="Q80" s="1255">
        <v>26</v>
      </c>
    </row>
    <row r="81" spans="1:40">
      <c r="A81" s="123">
        <f t="shared" si="1"/>
        <v>22</v>
      </c>
      <c r="B81" s="1253">
        <v>31.62</v>
      </c>
      <c r="C81" s="1254">
        <v>31.62</v>
      </c>
      <c r="D81" s="1254">
        <v>31.62</v>
      </c>
      <c r="E81" s="1254">
        <v>31.62</v>
      </c>
      <c r="F81" s="1254">
        <v>31.62</v>
      </c>
      <c r="G81" s="1254">
        <v>31.62</v>
      </c>
      <c r="H81" s="1254">
        <v>31.62</v>
      </c>
      <c r="I81" s="1255">
        <v>31.62</v>
      </c>
      <c r="J81" s="1253">
        <v>26</v>
      </c>
      <c r="K81" s="1254">
        <v>26</v>
      </c>
      <c r="L81" s="1254">
        <v>26</v>
      </c>
      <c r="M81" s="1254">
        <v>26</v>
      </c>
      <c r="N81" s="1254">
        <v>26</v>
      </c>
      <c r="O81" s="1254">
        <v>26</v>
      </c>
      <c r="P81" s="1254">
        <v>26</v>
      </c>
      <c r="Q81" s="1255">
        <v>26</v>
      </c>
    </row>
    <row r="82" spans="1:40" s="10" customFormat="1" ht="14.25" thickBot="1">
      <c r="A82" s="124">
        <f t="shared" si="1"/>
        <v>21</v>
      </c>
      <c r="B82" s="1256">
        <v>31.62</v>
      </c>
      <c r="C82" s="1257">
        <v>31.62</v>
      </c>
      <c r="D82" s="1257">
        <v>31.62</v>
      </c>
      <c r="E82" s="1257">
        <v>31.62</v>
      </c>
      <c r="F82" s="1257">
        <v>31.62</v>
      </c>
      <c r="G82" s="1257">
        <v>31.62</v>
      </c>
      <c r="H82" s="1257">
        <v>31.62</v>
      </c>
      <c r="I82" s="1258">
        <v>31.62</v>
      </c>
      <c r="J82" s="1256">
        <v>26</v>
      </c>
      <c r="K82" s="1257">
        <v>26</v>
      </c>
      <c r="L82" s="1257">
        <v>26</v>
      </c>
      <c r="M82" s="1257">
        <v>26</v>
      </c>
      <c r="N82" s="1257">
        <v>26</v>
      </c>
      <c r="O82" s="1257">
        <v>26</v>
      </c>
      <c r="P82" s="1257">
        <v>26</v>
      </c>
      <c r="Q82" s="1258">
        <v>26</v>
      </c>
      <c r="R82" s="21"/>
    </row>
    <row r="83" spans="1:40" s="16" customFormat="1">
      <c r="A83" s="125">
        <f t="shared" si="1"/>
        <v>20</v>
      </c>
      <c r="B83" s="1259">
        <v>31.62</v>
      </c>
      <c r="C83" s="1260">
        <v>31.62</v>
      </c>
      <c r="D83" s="1260">
        <v>31.62</v>
      </c>
      <c r="E83" s="1260">
        <v>31.62</v>
      </c>
      <c r="F83" s="1260">
        <v>31.62</v>
      </c>
      <c r="G83" s="1260">
        <v>31.62</v>
      </c>
      <c r="H83" s="1260">
        <v>31.62</v>
      </c>
      <c r="I83" s="1261">
        <v>31.62</v>
      </c>
      <c r="J83" s="1259">
        <v>26</v>
      </c>
      <c r="K83" s="1260">
        <v>26</v>
      </c>
      <c r="L83" s="1260">
        <v>26</v>
      </c>
      <c r="M83" s="1260">
        <v>26</v>
      </c>
      <c r="N83" s="1260">
        <v>26</v>
      </c>
      <c r="O83" s="1260">
        <v>26</v>
      </c>
      <c r="P83" s="1260">
        <v>26</v>
      </c>
      <c r="Q83" s="1261">
        <v>26</v>
      </c>
      <c r="R83" s="22"/>
    </row>
    <row r="84" spans="1:40">
      <c r="A84" s="123">
        <f t="shared" si="1"/>
        <v>19</v>
      </c>
      <c r="B84" s="1253">
        <v>31.62</v>
      </c>
      <c r="C84" s="1254">
        <v>31.62</v>
      </c>
      <c r="D84" s="1254">
        <v>31.62</v>
      </c>
      <c r="E84" s="1254">
        <v>31.62</v>
      </c>
      <c r="F84" s="1254">
        <v>31.62</v>
      </c>
      <c r="G84" s="1254">
        <v>31.62</v>
      </c>
      <c r="H84" s="1254">
        <v>31.62</v>
      </c>
      <c r="I84" s="1255">
        <v>31.62</v>
      </c>
      <c r="J84" s="1253">
        <v>26</v>
      </c>
      <c r="K84" s="1254">
        <v>26</v>
      </c>
      <c r="L84" s="1254">
        <v>26</v>
      </c>
      <c r="M84" s="1254">
        <v>26</v>
      </c>
      <c r="N84" s="1254">
        <v>26</v>
      </c>
      <c r="O84" s="1254">
        <v>26</v>
      </c>
      <c r="P84" s="1254">
        <v>26</v>
      </c>
      <c r="Q84" s="1255">
        <v>26</v>
      </c>
    </row>
    <row r="85" spans="1:40">
      <c r="A85" s="123">
        <f t="shared" si="1"/>
        <v>18</v>
      </c>
      <c r="B85" s="1253">
        <v>31.62</v>
      </c>
      <c r="C85" s="1254">
        <v>31.62</v>
      </c>
      <c r="D85" s="1254">
        <v>31.62</v>
      </c>
      <c r="E85" s="1254">
        <v>31.62</v>
      </c>
      <c r="F85" s="1254">
        <v>31.62</v>
      </c>
      <c r="G85" s="1254">
        <v>31.62</v>
      </c>
      <c r="H85" s="1254">
        <v>31.62</v>
      </c>
      <c r="I85" s="1255">
        <v>31.62</v>
      </c>
      <c r="J85" s="1253">
        <v>26</v>
      </c>
      <c r="K85" s="1254">
        <v>26</v>
      </c>
      <c r="L85" s="1254">
        <v>26</v>
      </c>
      <c r="M85" s="1254">
        <v>26</v>
      </c>
      <c r="N85" s="1254">
        <v>26</v>
      </c>
      <c r="O85" s="1254">
        <v>26</v>
      </c>
      <c r="P85" s="1254">
        <v>26</v>
      </c>
      <c r="Q85" s="1255">
        <v>26</v>
      </c>
    </row>
    <row r="86" spans="1:40">
      <c r="A86" s="123">
        <f t="shared" si="1"/>
        <v>17</v>
      </c>
      <c r="B86" s="1253">
        <v>31.62</v>
      </c>
      <c r="C86" s="1254">
        <v>31.62</v>
      </c>
      <c r="D86" s="1254">
        <v>31.62</v>
      </c>
      <c r="E86" s="1254">
        <v>31.62</v>
      </c>
      <c r="F86" s="1254">
        <v>31.62</v>
      </c>
      <c r="G86" s="1254">
        <v>31.62</v>
      </c>
      <c r="H86" s="1254">
        <v>31.62</v>
      </c>
      <c r="I86" s="1255">
        <v>31.62</v>
      </c>
      <c r="J86" s="1253">
        <v>26</v>
      </c>
      <c r="K86" s="1254">
        <v>26</v>
      </c>
      <c r="L86" s="1254">
        <v>26</v>
      </c>
      <c r="M86" s="1254">
        <v>26</v>
      </c>
      <c r="N86" s="1254">
        <v>26</v>
      </c>
      <c r="O86" s="1254">
        <v>26</v>
      </c>
      <c r="P86" s="1254">
        <v>26</v>
      </c>
      <c r="Q86" s="1255">
        <v>26</v>
      </c>
    </row>
    <row r="87" spans="1:40">
      <c r="A87" s="123">
        <f t="shared" si="1"/>
        <v>16</v>
      </c>
      <c r="B87" s="1253">
        <v>31.62</v>
      </c>
      <c r="C87" s="1254">
        <v>31.62</v>
      </c>
      <c r="D87" s="1254">
        <v>31.62</v>
      </c>
      <c r="E87" s="1254">
        <v>31.62</v>
      </c>
      <c r="F87" s="1254">
        <v>31.62</v>
      </c>
      <c r="G87" s="1254">
        <v>31.62</v>
      </c>
      <c r="H87" s="1254">
        <v>31.62</v>
      </c>
      <c r="I87" s="1255">
        <v>31.62</v>
      </c>
      <c r="J87" s="1253">
        <v>26</v>
      </c>
      <c r="K87" s="1254">
        <v>26</v>
      </c>
      <c r="L87" s="1254">
        <v>26</v>
      </c>
      <c r="M87" s="1254">
        <v>26</v>
      </c>
      <c r="N87" s="1254">
        <v>26</v>
      </c>
      <c r="O87" s="1254">
        <v>26</v>
      </c>
      <c r="P87" s="1254">
        <v>26</v>
      </c>
      <c r="Q87" s="1255">
        <v>26</v>
      </c>
    </row>
    <row r="88" spans="1:40">
      <c r="A88" s="123">
        <f t="shared" si="1"/>
        <v>15</v>
      </c>
      <c r="B88" s="1253">
        <v>31.62</v>
      </c>
      <c r="C88" s="1254">
        <v>31.62</v>
      </c>
      <c r="D88" s="1254">
        <v>31.62</v>
      </c>
      <c r="E88" s="1254">
        <v>31.62</v>
      </c>
      <c r="F88" s="1254">
        <v>31.62</v>
      </c>
      <c r="G88" s="1254">
        <v>31.62</v>
      </c>
      <c r="H88" s="1254">
        <v>31.62</v>
      </c>
      <c r="I88" s="1255">
        <v>31.62</v>
      </c>
      <c r="J88" s="1253">
        <v>26</v>
      </c>
      <c r="K88" s="1254">
        <v>26</v>
      </c>
      <c r="L88" s="1254">
        <v>26</v>
      </c>
      <c r="M88" s="1254">
        <v>26</v>
      </c>
      <c r="N88" s="1254">
        <v>26</v>
      </c>
      <c r="O88" s="1254">
        <v>26</v>
      </c>
      <c r="P88" s="1254">
        <v>26</v>
      </c>
      <c r="Q88" s="1255">
        <v>26</v>
      </c>
    </row>
    <row r="89" spans="1:40">
      <c r="A89" s="123">
        <f t="shared" si="1"/>
        <v>14</v>
      </c>
      <c r="B89" s="1253">
        <v>31.62</v>
      </c>
      <c r="C89" s="1254">
        <v>31.62</v>
      </c>
      <c r="D89" s="1254">
        <v>31.62</v>
      </c>
      <c r="E89" s="1254">
        <v>31.62</v>
      </c>
      <c r="F89" s="1254">
        <v>31.62</v>
      </c>
      <c r="G89" s="1254">
        <v>31.62</v>
      </c>
      <c r="H89" s="1254">
        <v>31.62</v>
      </c>
      <c r="I89" s="1255">
        <v>31.62</v>
      </c>
      <c r="J89" s="1253">
        <v>26</v>
      </c>
      <c r="K89" s="1254">
        <v>26</v>
      </c>
      <c r="L89" s="1254">
        <v>26</v>
      </c>
      <c r="M89" s="1254">
        <v>26</v>
      </c>
      <c r="N89" s="1254">
        <v>26</v>
      </c>
      <c r="O89" s="1254">
        <v>26</v>
      </c>
      <c r="P89" s="1254">
        <v>26</v>
      </c>
      <c r="Q89" s="1255">
        <v>26</v>
      </c>
    </row>
    <row r="90" spans="1:40">
      <c r="A90" s="123">
        <f t="shared" si="1"/>
        <v>13</v>
      </c>
      <c r="B90" s="1253">
        <v>31.62</v>
      </c>
      <c r="C90" s="1254">
        <v>31.62</v>
      </c>
      <c r="D90" s="1254">
        <v>31.62</v>
      </c>
      <c r="E90" s="1254">
        <v>31.62</v>
      </c>
      <c r="F90" s="1254">
        <v>31.62</v>
      </c>
      <c r="G90" s="1254">
        <v>31.62</v>
      </c>
      <c r="H90" s="1254">
        <v>31.62</v>
      </c>
      <c r="I90" s="1255">
        <v>31.62</v>
      </c>
      <c r="J90" s="1253">
        <v>26</v>
      </c>
      <c r="K90" s="1254">
        <v>26</v>
      </c>
      <c r="L90" s="1254">
        <v>26</v>
      </c>
      <c r="M90" s="1254">
        <v>26</v>
      </c>
      <c r="N90" s="1254">
        <v>26</v>
      </c>
      <c r="O90" s="1254">
        <v>26</v>
      </c>
      <c r="P90" s="1254">
        <v>26</v>
      </c>
      <c r="Q90" s="1255">
        <v>26</v>
      </c>
    </row>
    <row r="91" spans="1:40">
      <c r="A91" s="123">
        <f t="shared" si="1"/>
        <v>12</v>
      </c>
      <c r="B91" s="1253">
        <v>31.62</v>
      </c>
      <c r="C91" s="1254">
        <v>31.62</v>
      </c>
      <c r="D91" s="1254">
        <v>31.62</v>
      </c>
      <c r="E91" s="1254">
        <v>31.62</v>
      </c>
      <c r="F91" s="1254">
        <v>31.62</v>
      </c>
      <c r="G91" s="1254">
        <v>31.62</v>
      </c>
      <c r="H91" s="1254">
        <v>31.62</v>
      </c>
      <c r="I91" s="1255">
        <v>31.62</v>
      </c>
      <c r="J91" s="1253">
        <v>26</v>
      </c>
      <c r="K91" s="1254">
        <v>26</v>
      </c>
      <c r="L91" s="1254">
        <v>26</v>
      </c>
      <c r="M91" s="1254">
        <v>26</v>
      </c>
      <c r="N91" s="1254">
        <v>26</v>
      </c>
      <c r="O91" s="1254">
        <v>26</v>
      </c>
      <c r="P91" s="1254">
        <v>26</v>
      </c>
      <c r="Q91" s="1255">
        <v>26</v>
      </c>
    </row>
    <row r="92" spans="1:40" ht="14.25" thickBot="1">
      <c r="A92" s="123">
        <f t="shared" si="1"/>
        <v>11</v>
      </c>
      <c r="B92" s="1256">
        <v>31.62</v>
      </c>
      <c r="C92" s="1257">
        <v>31.62</v>
      </c>
      <c r="D92" s="1257">
        <v>31.62</v>
      </c>
      <c r="E92" s="1257">
        <v>31.62</v>
      </c>
      <c r="F92" s="1257">
        <v>31.62</v>
      </c>
      <c r="G92" s="1257">
        <v>31.62</v>
      </c>
      <c r="H92" s="1257">
        <v>31.62</v>
      </c>
      <c r="I92" s="1258">
        <v>31.62</v>
      </c>
      <c r="J92" s="1256">
        <v>26</v>
      </c>
      <c r="K92" s="1257">
        <v>26</v>
      </c>
      <c r="L92" s="1257">
        <v>26</v>
      </c>
      <c r="M92" s="1257">
        <v>26</v>
      </c>
      <c r="N92" s="1257">
        <v>26</v>
      </c>
      <c r="O92" s="1257">
        <v>26</v>
      </c>
      <c r="P92" s="1257">
        <v>26</v>
      </c>
      <c r="Q92" s="1258">
        <v>26</v>
      </c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>
      <c r="A93" s="123">
        <f t="shared" si="1"/>
        <v>10</v>
      </c>
      <c r="B93" s="1259">
        <v>31.62</v>
      </c>
      <c r="C93" s="1260">
        <v>31.62</v>
      </c>
      <c r="D93" s="1260">
        <v>31.62</v>
      </c>
      <c r="E93" s="1260">
        <v>31.62</v>
      </c>
      <c r="F93" s="1260">
        <v>31.62</v>
      </c>
      <c r="G93" s="1260">
        <v>31.62</v>
      </c>
      <c r="H93" s="1260">
        <v>31.62</v>
      </c>
      <c r="I93" s="1261">
        <v>31.62</v>
      </c>
      <c r="J93" s="1259">
        <v>26</v>
      </c>
      <c r="K93" s="1260">
        <v>26</v>
      </c>
      <c r="L93" s="1260">
        <v>26</v>
      </c>
      <c r="M93" s="1260">
        <v>26</v>
      </c>
      <c r="N93" s="1260">
        <v>26</v>
      </c>
      <c r="O93" s="1260">
        <v>26</v>
      </c>
      <c r="P93" s="1260">
        <v>26</v>
      </c>
      <c r="Q93" s="1261">
        <v>26</v>
      </c>
      <c r="R93" s="22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</row>
    <row r="94" spans="1:40">
      <c r="A94" s="123">
        <f t="shared" si="1"/>
        <v>9</v>
      </c>
      <c r="B94" s="1253">
        <v>31.62</v>
      </c>
      <c r="C94" s="1254">
        <v>31.62</v>
      </c>
      <c r="D94" s="1254">
        <v>31.62</v>
      </c>
      <c r="E94" s="1254">
        <v>31.62</v>
      </c>
      <c r="F94" s="1254">
        <v>31.62</v>
      </c>
      <c r="G94" s="1254">
        <v>31.62</v>
      </c>
      <c r="H94" s="1254">
        <v>31.62</v>
      </c>
      <c r="I94" s="1255">
        <v>31.62</v>
      </c>
      <c r="J94" s="1253">
        <v>26</v>
      </c>
      <c r="K94" s="1254">
        <v>26</v>
      </c>
      <c r="L94" s="1254">
        <v>26</v>
      </c>
      <c r="M94" s="1254">
        <v>26</v>
      </c>
      <c r="N94" s="1254">
        <v>26</v>
      </c>
      <c r="O94" s="1254">
        <v>26</v>
      </c>
      <c r="P94" s="1254">
        <v>26</v>
      </c>
      <c r="Q94" s="1255">
        <v>26</v>
      </c>
    </row>
    <row r="95" spans="1:40">
      <c r="A95" s="123">
        <f t="shared" si="1"/>
        <v>8</v>
      </c>
      <c r="B95" s="1253">
        <v>31.62</v>
      </c>
      <c r="C95" s="1254">
        <v>31.62</v>
      </c>
      <c r="D95" s="1254">
        <v>31.62</v>
      </c>
      <c r="E95" s="1254">
        <v>31.62</v>
      </c>
      <c r="F95" s="1254">
        <v>31.62</v>
      </c>
      <c r="G95" s="1254">
        <v>31.62</v>
      </c>
      <c r="H95" s="1254">
        <v>31.62</v>
      </c>
      <c r="I95" s="1255">
        <v>31.62</v>
      </c>
      <c r="J95" s="1253">
        <v>26</v>
      </c>
      <c r="K95" s="1254">
        <v>26</v>
      </c>
      <c r="L95" s="1254">
        <v>26</v>
      </c>
      <c r="M95" s="1254">
        <v>26</v>
      </c>
      <c r="N95" s="1254">
        <v>26</v>
      </c>
      <c r="O95" s="1254">
        <v>26</v>
      </c>
      <c r="P95" s="1254">
        <v>26</v>
      </c>
      <c r="Q95" s="1255">
        <v>26</v>
      </c>
    </row>
    <row r="96" spans="1:40">
      <c r="A96" s="123">
        <f t="shared" si="1"/>
        <v>7</v>
      </c>
      <c r="B96" s="1253">
        <v>31.62</v>
      </c>
      <c r="C96" s="1254">
        <v>31.62</v>
      </c>
      <c r="D96" s="1254">
        <v>31.62</v>
      </c>
      <c r="E96" s="1254">
        <v>31.62</v>
      </c>
      <c r="F96" s="1254">
        <v>31.62</v>
      </c>
      <c r="G96" s="1254">
        <v>31.62</v>
      </c>
      <c r="H96" s="1254">
        <v>31.62</v>
      </c>
      <c r="I96" s="1255">
        <v>31.62</v>
      </c>
      <c r="J96" s="1253">
        <v>26</v>
      </c>
      <c r="K96" s="1254">
        <v>26</v>
      </c>
      <c r="L96" s="1254">
        <v>26</v>
      </c>
      <c r="M96" s="1254">
        <v>26</v>
      </c>
      <c r="N96" s="1254">
        <v>26</v>
      </c>
      <c r="O96" s="1254">
        <v>26</v>
      </c>
      <c r="P96" s="1254">
        <v>26</v>
      </c>
      <c r="Q96" s="1255">
        <v>26</v>
      </c>
    </row>
    <row r="97" spans="1:40">
      <c r="A97" s="123">
        <f t="shared" si="1"/>
        <v>6</v>
      </c>
      <c r="B97" s="1253">
        <v>31.62</v>
      </c>
      <c r="C97" s="1254">
        <v>31.62</v>
      </c>
      <c r="D97" s="1254">
        <v>31.62</v>
      </c>
      <c r="E97" s="1254">
        <v>31.62</v>
      </c>
      <c r="F97" s="1254">
        <v>31.62</v>
      </c>
      <c r="G97" s="1254">
        <v>31.62</v>
      </c>
      <c r="H97" s="1254">
        <v>31.62</v>
      </c>
      <c r="I97" s="1255">
        <v>31.62</v>
      </c>
      <c r="J97" s="1253">
        <v>26</v>
      </c>
      <c r="K97" s="1254">
        <v>26</v>
      </c>
      <c r="L97" s="1254">
        <v>26</v>
      </c>
      <c r="M97" s="1254">
        <v>26</v>
      </c>
      <c r="N97" s="1254">
        <v>26</v>
      </c>
      <c r="O97" s="1254">
        <v>26</v>
      </c>
      <c r="P97" s="1254">
        <v>26</v>
      </c>
      <c r="Q97" s="1255">
        <v>26</v>
      </c>
    </row>
    <row r="98" spans="1:40">
      <c r="A98" s="123">
        <f t="shared" si="1"/>
        <v>5</v>
      </c>
      <c r="B98" s="1253">
        <v>31.62</v>
      </c>
      <c r="C98" s="1254">
        <v>31.62</v>
      </c>
      <c r="D98" s="1254">
        <v>31.62</v>
      </c>
      <c r="E98" s="1254">
        <v>31.62</v>
      </c>
      <c r="F98" s="1254">
        <v>31.62</v>
      </c>
      <c r="G98" s="1254">
        <v>31.62</v>
      </c>
      <c r="H98" s="1254">
        <v>31.62</v>
      </c>
      <c r="I98" s="1255">
        <v>31.62</v>
      </c>
      <c r="J98" s="1253">
        <v>26</v>
      </c>
      <c r="K98" s="1254">
        <v>26</v>
      </c>
      <c r="L98" s="1254">
        <v>26</v>
      </c>
      <c r="M98" s="1254">
        <v>26</v>
      </c>
      <c r="N98" s="1254">
        <v>26</v>
      </c>
      <c r="O98" s="1254">
        <v>26</v>
      </c>
      <c r="P98" s="1254">
        <v>26</v>
      </c>
      <c r="Q98" s="1255">
        <v>26</v>
      </c>
    </row>
    <row r="99" spans="1:40">
      <c r="A99" s="123">
        <f t="shared" si="1"/>
        <v>4</v>
      </c>
      <c r="B99" s="1253">
        <v>31.62</v>
      </c>
      <c r="C99" s="1254">
        <v>31.62</v>
      </c>
      <c r="D99" s="1254">
        <v>31.62</v>
      </c>
      <c r="E99" s="1254">
        <v>31.62</v>
      </c>
      <c r="F99" s="1254">
        <v>31.62</v>
      </c>
      <c r="G99" s="1254">
        <v>31.62</v>
      </c>
      <c r="H99" s="1254">
        <v>31.62</v>
      </c>
      <c r="I99" s="1255">
        <v>31.62</v>
      </c>
      <c r="J99" s="1253">
        <v>26</v>
      </c>
      <c r="K99" s="1254">
        <v>26</v>
      </c>
      <c r="L99" s="1254">
        <v>26</v>
      </c>
      <c r="M99" s="1254">
        <v>26</v>
      </c>
      <c r="N99" s="1254">
        <v>26</v>
      </c>
      <c r="O99" s="1254">
        <v>26</v>
      </c>
      <c r="P99" s="1254">
        <v>26</v>
      </c>
      <c r="Q99" s="1255">
        <v>26</v>
      </c>
    </row>
    <row r="100" spans="1:40">
      <c r="A100" s="123">
        <f t="shared" si="1"/>
        <v>3</v>
      </c>
      <c r="B100" s="1253">
        <v>31.62</v>
      </c>
      <c r="C100" s="1254">
        <v>31.62</v>
      </c>
      <c r="D100" s="1254">
        <v>31.62</v>
      </c>
      <c r="E100" s="1254">
        <v>31.62</v>
      </c>
      <c r="F100" s="1254">
        <v>31.62</v>
      </c>
      <c r="G100" s="1254">
        <v>31.62</v>
      </c>
      <c r="H100" s="1254">
        <v>31.62</v>
      </c>
      <c r="I100" s="1255">
        <v>31.62</v>
      </c>
      <c r="J100" s="1253">
        <v>26</v>
      </c>
      <c r="K100" s="1254">
        <v>26</v>
      </c>
      <c r="L100" s="1254">
        <v>26</v>
      </c>
      <c r="M100" s="1254">
        <v>26</v>
      </c>
      <c r="N100" s="1254">
        <v>26</v>
      </c>
      <c r="O100" s="1254">
        <v>26</v>
      </c>
      <c r="P100" s="1254">
        <v>26</v>
      </c>
      <c r="Q100" s="1255">
        <v>26</v>
      </c>
    </row>
    <row r="101" spans="1:40">
      <c r="A101" s="123">
        <f t="shared" si="1"/>
        <v>2</v>
      </c>
      <c r="B101" s="1253">
        <v>31.62</v>
      </c>
      <c r="C101" s="1254">
        <v>31.62</v>
      </c>
      <c r="D101" s="1254">
        <v>31.62</v>
      </c>
      <c r="E101" s="1254">
        <v>31.62</v>
      </c>
      <c r="F101" s="1254">
        <v>31.62</v>
      </c>
      <c r="G101" s="1254">
        <v>31.62</v>
      </c>
      <c r="H101" s="1254">
        <v>31.62</v>
      </c>
      <c r="I101" s="1255">
        <v>31.62</v>
      </c>
      <c r="J101" s="1253">
        <v>26</v>
      </c>
      <c r="K101" s="1254">
        <v>26</v>
      </c>
      <c r="L101" s="1254">
        <v>26</v>
      </c>
      <c r="M101" s="1254">
        <v>26</v>
      </c>
      <c r="N101" s="1254">
        <v>26</v>
      </c>
      <c r="O101" s="1254">
        <v>26</v>
      </c>
      <c r="P101" s="1254">
        <v>26</v>
      </c>
      <c r="Q101" s="1255">
        <v>26</v>
      </c>
    </row>
    <row r="102" spans="1:40">
      <c r="A102" s="123">
        <f t="shared" si="1"/>
        <v>1</v>
      </c>
      <c r="B102" s="1253">
        <v>31.62</v>
      </c>
      <c r="C102" s="1254">
        <v>31.62</v>
      </c>
      <c r="D102" s="1254">
        <v>31.62</v>
      </c>
      <c r="E102" s="1254">
        <v>31.62</v>
      </c>
      <c r="F102" s="1254">
        <v>31.62</v>
      </c>
      <c r="G102" s="1254">
        <v>31.62</v>
      </c>
      <c r="H102" s="1254">
        <v>31.62</v>
      </c>
      <c r="I102" s="1255">
        <v>31.62</v>
      </c>
      <c r="J102" s="1253">
        <v>26</v>
      </c>
      <c r="K102" s="1254">
        <v>26</v>
      </c>
      <c r="L102" s="1254">
        <v>26</v>
      </c>
      <c r="M102" s="1254">
        <v>26</v>
      </c>
      <c r="N102" s="1254">
        <v>26</v>
      </c>
      <c r="O102" s="1254">
        <v>26</v>
      </c>
      <c r="P102" s="1254">
        <v>26</v>
      </c>
      <c r="Q102" s="1255">
        <v>26</v>
      </c>
    </row>
    <row r="103" spans="1:40" ht="14.25" thickBot="1">
      <c r="A103" s="123">
        <f t="shared" si="1"/>
        <v>0</v>
      </c>
      <c r="B103" s="1256">
        <v>31.62</v>
      </c>
      <c r="C103" s="1257">
        <v>31.62</v>
      </c>
      <c r="D103" s="1257">
        <v>31.62</v>
      </c>
      <c r="E103" s="1257">
        <v>31.62</v>
      </c>
      <c r="F103" s="1257">
        <v>31.62</v>
      </c>
      <c r="G103" s="1257">
        <v>31.62</v>
      </c>
      <c r="H103" s="1257">
        <v>31.62</v>
      </c>
      <c r="I103" s="1258">
        <v>31.62</v>
      </c>
      <c r="J103" s="1256">
        <v>26</v>
      </c>
      <c r="K103" s="1257">
        <v>26</v>
      </c>
      <c r="L103" s="1257">
        <v>26</v>
      </c>
      <c r="M103" s="1257">
        <v>26</v>
      </c>
      <c r="N103" s="1257">
        <v>26</v>
      </c>
      <c r="O103" s="1257">
        <v>26</v>
      </c>
      <c r="P103" s="1257">
        <v>26</v>
      </c>
      <c r="Q103" s="1258">
        <v>26</v>
      </c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</row>
    <row r="104" spans="1:40">
      <c r="B104" s="1259"/>
      <c r="C104" s="1260"/>
      <c r="D104" s="1260"/>
      <c r="E104" s="1260"/>
      <c r="F104" s="1260"/>
      <c r="G104" s="1260"/>
      <c r="H104" s="1260"/>
      <c r="I104" s="1261"/>
      <c r="J104" s="1259"/>
      <c r="K104" s="1260"/>
      <c r="L104" s="1260"/>
      <c r="M104" s="1260"/>
      <c r="N104" s="1260"/>
      <c r="O104" s="1260"/>
      <c r="P104" s="1260"/>
      <c r="Q104" s="1261"/>
      <c r="R104" s="22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</row>
  </sheetData>
  <sheetProtection password="CA14" sheet="1" objects="1" scenarios="1"/>
  <mergeCells count="3">
    <mergeCell ref="A1:A2"/>
    <mergeCell ref="B1:I1"/>
    <mergeCell ref="J1:Q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20" sqref="F20"/>
    </sheetView>
  </sheetViews>
  <sheetFormatPr defaultRowHeight="13.5"/>
  <cols>
    <col min="1" max="16384" width="9.140625" style="1213"/>
  </cols>
  <sheetData>
    <row r="1" spans="1:2">
      <c r="A1" s="1213" t="s">
        <v>464</v>
      </c>
      <c r="B1" s="1214" t="s">
        <v>465</v>
      </c>
    </row>
    <row r="2" spans="1:2">
      <c r="A2" s="137" t="s">
        <v>456</v>
      </c>
      <c r="B2" s="36" t="s">
        <v>466</v>
      </c>
    </row>
    <row r="3" spans="1:2">
      <c r="A3" s="137" t="s">
        <v>457</v>
      </c>
      <c r="B3" s="36" t="s">
        <v>467</v>
      </c>
    </row>
    <row r="4" spans="1:2">
      <c r="A4" s="137" t="s">
        <v>458</v>
      </c>
    </row>
    <row r="5" spans="1:2">
      <c r="A5" s="137" t="s">
        <v>459</v>
      </c>
    </row>
    <row r="6" spans="1:2">
      <c r="A6" s="137" t="s">
        <v>460</v>
      </c>
    </row>
    <row r="7" spans="1:2">
      <c r="A7" s="137" t="s">
        <v>461</v>
      </c>
    </row>
    <row r="8" spans="1:2">
      <c r="A8" s="137" t="s">
        <v>462</v>
      </c>
    </row>
    <row r="9" spans="1:2">
      <c r="A9" s="137" t="s">
        <v>463</v>
      </c>
    </row>
  </sheetData>
  <sheetProtection password="CA14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성적입력</vt:lpstr>
      <vt:lpstr>계산도구</vt:lpstr>
      <vt:lpstr>보정점수표</vt:lpstr>
      <vt:lpstr>서울대-한양대보정별첨</vt:lpstr>
      <vt:lpstr>목록표</vt:lpstr>
      <vt:lpstr>과탐</vt:lpstr>
      <vt:lpstr>수리유형</vt:lpstr>
    </vt:vector>
  </TitlesOfParts>
  <Company>Bogil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Mm반정선생</dc:creator>
  <cp:lastModifiedBy>Mm반정선생</cp:lastModifiedBy>
  <cp:lastPrinted>2009-12-24T06:44:32Z</cp:lastPrinted>
  <dcterms:created xsi:type="dcterms:W3CDTF">2009-11-21T01:50:21Z</dcterms:created>
  <dcterms:modified xsi:type="dcterms:W3CDTF">2010-12-19T04:46:14Z</dcterms:modified>
</cp:coreProperties>
</file>