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90" windowWidth="19080" windowHeight="8445"/>
  </bookViews>
  <sheets>
    <sheet name="성적입력" sheetId="1" r:id="rId1"/>
    <sheet name="계산도구" sheetId="3" state="hidden" r:id="rId2"/>
    <sheet name="보정점수표" sheetId="4" state="hidden" r:id="rId3"/>
    <sheet name="서울대,한양대보정별첨" sheetId="8" r:id="rId4"/>
    <sheet name="목록표" sheetId="15" state="hidden" r:id="rId5"/>
  </sheets>
  <definedNames>
    <definedName name="문과생">목록표!$A$2:$A$237</definedName>
    <definedName name="사탐">목록표!$B$2:$B$12</definedName>
    <definedName name="제2외">목록표!$C$2:$C$9</definedName>
  </definedNames>
  <calcPr calcId="125725"/>
</workbook>
</file>

<file path=xl/calcChain.xml><?xml version="1.0" encoding="utf-8"?>
<calcChain xmlns="http://schemas.openxmlformats.org/spreadsheetml/2006/main">
  <c r="H4" i="3"/>
  <c r="A103" i="8"/>
  <c r="A102"/>
  <c r="A101"/>
  <c r="A100"/>
  <c r="A99"/>
  <c r="A98"/>
  <c r="A97"/>
  <c r="A96"/>
  <c r="A95"/>
  <c r="A94"/>
  <c r="A93"/>
  <c r="A92"/>
  <c r="A91"/>
  <c r="A90"/>
  <c r="A89"/>
  <c r="A88"/>
  <c r="A87"/>
  <c r="A86"/>
  <c r="A85"/>
  <c r="A84"/>
  <c r="A83"/>
  <c r="A82"/>
  <c r="A81"/>
  <c r="A80"/>
  <c r="A79"/>
  <c r="A78"/>
  <c r="A77"/>
  <c r="A76"/>
  <c r="A75"/>
  <c r="A74"/>
  <c r="A73"/>
  <c r="A72"/>
  <c r="A71"/>
  <c r="A70"/>
  <c r="A69"/>
  <c r="A68"/>
  <c r="A67"/>
  <c r="A66"/>
  <c r="A65"/>
  <c r="A64"/>
  <c r="A63"/>
  <c r="A62"/>
  <c r="A61"/>
  <c r="A60"/>
  <c r="A59"/>
  <c r="A58"/>
  <c r="A57"/>
  <c r="A56"/>
  <c r="A55"/>
  <c r="A54"/>
  <c r="A53"/>
  <c r="A52"/>
  <c r="A51"/>
  <c r="A50"/>
  <c r="A49"/>
  <c r="A48"/>
  <c r="A47"/>
  <c r="A46"/>
  <c r="A45"/>
  <c r="A44"/>
  <c r="A43"/>
  <c r="A42"/>
  <c r="A41"/>
  <c r="A40"/>
  <c r="A39"/>
  <c r="A38"/>
  <c r="A37"/>
  <c r="A36"/>
  <c r="A35"/>
  <c r="A34"/>
  <c r="A33"/>
  <c r="A32"/>
  <c r="A31"/>
  <c r="A30"/>
  <c r="A29"/>
  <c r="A28"/>
  <c r="A27"/>
  <c r="A26"/>
  <c r="A25"/>
  <c r="A24"/>
  <c r="A23"/>
  <c r="A22"/>
  <c r="A21"/>
  <c r="A20"/>
  <c r="A19"/>
  <c r="A18"/>
  <c r="A17"/>
  <c r="A16"/>
  <c r="A15"/>
  <c r="A14"/>
  <c r="A13"/>
  <c r="A12"/>
  <c r="A11"/>
  <c r="A10"/>
  <c r="A9"/>
  <c r="A8"/>
  <c r="A7"/>
  <c r="A6"/>
  <c r="A5"/>
  <c r="A4"/>
  <c r="A3"/>
  <c r="M103" i="4"/>
  <c r="A103" l="1"/>
  <c r="M102"/>
  <c r="A102"/>
  <c r="M101"/>
  <c r="A101"/>
  <c r="M100"/>
  <c r="A100"/>
  <c r="M99"/>
  <c r="A99"/>
  <c r="M98"/>
  <c r="A98"/>
  <c r="M97"/>
  <c r="A97"/>
  <c r="M96"/>
  <c r="A96"/>
  <c r="M95"/>
  <c r="A95"/>
  <c r="M94"/>
  <c r="A94"/>
  <c r="M93"/>
  <c r="A93"/>
  <c r="M92"/>
  <c r="A92"/>
  <c r="M91"/>
  <c r="A91"/>
  <c r="M90"/>
  <c r="A90"/>
  <c r="M89"/>
  <c r="A89"/>
  <c r="M88"/>
  <c r="A88"/>
  <c r="M87"/>
  <c r="A87"/>
  <c r="M86"/>
  <c r="A86"/>
  <c r="M85"/>
  <c r="A85"/>
  <c r="M84"/>
  <c r="A84"/>
  <c r="M83"/>
  <c r="A83"/>
  <c r="M82"/>
  <c r="A82"/>
  <c r="M81"/>
  <c r="A81"/>
  <c r="M80"/>
  <c r="A80"/>
  <c r="M79"/>
  <c r="A79"/>
  <c r="M78"/>
  <c r="A78"/>
  <c r="M77"/>
  <c r="A77"/>
  <c r="M76"/>
  <c r="A76"/>
  <c r="M75"/>
  <c r="A75"/>
  <c r="M74"/>
  <c r="A74"/>
  <c r="M73"/>
  <c r="A73"/>
  <c r="M72"/>
  <c r="A72"/>
  <c r="M71"/>
  <c r="A71"/>
  <c r="M70"/>
  <c r="A70"/>
  <c r="M69"/>
  <c r="A69"/>
  <c r="M68"/>
  <c r="A68"/>
  <c r="M67"/>
  <c r="A67"/>
  <c r="M66"/>
  <c r="A66"/>
  <c r="M65"/>
  <c r="A65"/>
  <c r="M64"/>
  <c r="A64"/>
  <c r="M63"/>
  <c r="A63"/>
  <c r="M62"/>
  <c r="A62"/>
  <c r="M61"/>
  <c r="A61"/>
  <c r="M60"/>
  <c r="A60"/>
  <c r="M59"/>
  <c r="A59"/>
  <c r="M58"/>
  <c r="A58"/>
  <c r="M57"/>
  <c r="A57"/>
  <c r="M56"/>
  <c r="A56"/>
  <c r="M55"/>
  <c r="A55"/>
  <c r="M54"/>
  <c r="A54"/>
  <c r="M53"/>
  <c r="A53"/>
  <c r="M52"/>
  <c r="A52"/>
  <c r="M51"/>
  <c r="A51"/>
  <c r="M50"/>
  <c r="A50"/>
  <c r="M49"/>
  <c r="A49"/>
  <c r="M48"/>
  <c r="A48"/>
  <c r="M47"/>
  <c r="A47"/>
  <c r="M46"/>
  <c r="A46"/>
  <c r="M45"/>
  <c r="A45"/>
  <c r="M44"/>
  <c r="A44"/>
  <c r="M43"/>
  <c r="A43"/>
  <c r="M42"/>
  <c r="A42"/>
  <c r="M41"/>
  <c r="A41"/>
  <c r="M40"/>
  <c r="A40"/>
  <c r="M39"/>
  <c r="A39"/>
  <c r="M38"/>
  <c r="A38"/>
  <c r="M37"/>
  <c r="A37"/>
  <c r="M36"/>
  <c r="A36"/>
  <c r="M35"/>
  <c r="A35"/>
  <c r="M34"/>
  <c r="A34"/>
  <c r="M33"/>
  <c r="A33"/>
  <c r="M32"/>
  <c r="A32"/>
  <c r="M31"/>
  <c r="A31"/>
  <c r="M30"/>
  <c r="A30"/>
  <c r="M29"/>
  <c r="A29"/>
  <c r="M28"/>
  <c r="A28"/>
  <c r="M27"/>
  <c r="A27"/>
  <c r="M26"/>
  <c r="A26"/>
  <c r="M25"/>
  <c r="A25"/>
  <c r="M24"/>
  <c r="A24"/>
  <c r="M23"/>
  <c r="A23"/>
  <c r="M22"/>
  <c r="A22"/>
  <c r="M21"/>
  <c r="A21"/>
  <c r="M20"/>
  <c r="A20"/>
  <c r="M19"/>
  <c r="A19"/>
  <c r="M18"/>
  <c r="A18"/>
  <c r="M17"/>
  <c r="A17"/>
  <c r="M16"/>
  <c r="A16"/>
  <c r="M15"/>
  <c r="A15"/>
  <c r="M14"/>
  <c r="A14"/>
  <c r="M13"/>
  <c r="A13"/>
  <c r="M12"/>
  <c r="A12"/>
  <c r="M11"/>
  <c r="A11"/>
  <c r="M10"/>
  <c r="A10"/>
  <c r="M9"/>
  <c r="A9"/>
  <c r="M8"/>
  <c r="A8"/>
  <c r="M7"/>
  <c r="A7"/>
  <c r="M6"/>
  <c r="A6"/>
  <c r="M5"/>
  <c r="A5"/>
  <c r="M4"/>
  <c r="A4"/>
  <c r="M3"/>
  <c r="A3"/>
  <c r="V127" i="3"/>
  <c r="U127"/>
  <c r="T127"/>
  <c r="Q127"/>
  <c r="P127"/>
  <c r="O127"/>
  <c r="N127"/>
  <c r="M127" l="1"/>
  <c r="L127" l="1"/>
  <c r="K127"/>
  <c r="J127"/>
  <c r="I127"/>
  <c r="G127" s="1"/>
  <c r="F127" s="1"/>
  <c r="E127" s="1"/>
  <c r="D127" s="1"/>
  <c r="AG126"/>
  <c r="AF126"/>
  <c r="AE126"/>
  <c r="AD126"/>
  <c r="V126"/>
  <c r="U126"/>
  <c r="T126"/>
  <c r="R126"/>
  <c r="Q126"/>
  <c r="P126"/>
  <c r="O126"/>
  <c r="N126"/>
  <c r="K126"/>
  <c r="J126" s="1"/>
  <c r="I126"/>
  <c r="AG125"/>
  <c r="AF125"/>
  <c r="AD125"/>
  <c r="V125"/>
  <c r="U125"/>
  <c r="T125"/>
  <c r="R125"/>
  <c r="Q125"/>
  <c r="P125"/>
  <c r="O125"/>
  <c r="N125"/>
  <c r="M126" l="1"/>
  <c r="L126" s="1"/>
  <c r="M125"/>
  <c r="L125" s="1"/>
  <c r="K125"/>
  <c r="J125"/>
  <c r="I125" s="1"/>
  <c r="AB124"/>
  <c r="AA124"/>
  <c r="Z124"/>
  <c r="Y124"/>
  <c r="X124"/>
  <c r="V124"/>
  <c r="U124"/>
  <c r="T124"/>
  <c r="R124"/>
  <c r="Q124"/>
  <c r="P124"/>
  <c r="O124"/>
  <c r="N124"/>
  <c r="L124"/>
  <c r="K124"/>
  <c r="J124"/>
  <c r="I124"/>
  <c r="G126" l="1"/>
  <c r="F126" s="1"/>
  <c r="E126" s="1"/>
  <c r="D126" s="1"/>
  <c r="G125"/>
  <c r="F125" s="1"/>
  <c r="E125" s="1"/>
  <c r="D125" s="1"/>
  <c r="M124"/>
  <c r="H124"/>
  <c r="AB123"/>
  <c r="AA123"/>
  <c r="Z123"/>
  <c r="Y123"/>
  <c r="X123"/>
  <c r="V123"/>
  <c r="U123"/>
  <c r="T123"/>
  <c r="R123"/>
  <c r="Q123"/>
  <c r="P123"/>
  <c r="O123"/>
  <c r="N123"/>
  <c r="L123"/>
  <c r="K123"/>
  <c r="J123"/>
  <c r="I123"/>
  <c r="Z122"/>
  <c r="Y122"/>
  <c r="X122"/>
  <c r="V122"/>
  <c r="U122"/>
  <c r="T122"/>
  <c r="R122"/>
  <c r="Q122"/>
  <c r="P122"/>
  <c r="O122"/>
  <c r="N122"/>
  <c r="M123" l="1"/>
  <c r="H123"/>
  <c r="D123" s="1"/>
  <c r="G124"/>
  <c r="D124"/>
  <c r="F124"/>
  <c r="E124"/>
  <c r="L122"/>
  <c r="K122"/>
  <c r="J122"/>
  <c r="I122"/>
  <c r="F122"/>
  <c r="E122" s="1"/>
  <c r="D122" s="1"/>
  <c r="Z121"/>
  <c r="Y121"/>
  <c r="X121"/>
  <c r="V121"/>
  <c r="U121"/>
  <c r="T121"/>
  <c r="R121"/>
  <c r="F121" s="1"/>
  <c r="E121" s="1"/>
  <c r="D121" s="1"/>
  <c r="Q121"/>
  <c r="P121"/>
  <c r="O121"/>
  <c r="N121"/>
  <c r="L121"/>
  <c r="K121"/>
  <c r="J121"/>
  <c r="I121"/>
  <c r="Z120"/>
  <c r="Y120"/>
  <c r="X120"/>
  <c r="V120"/>
  <c r="U120"/>
  <c r="T120"/>
  <c r="R120"/>
  <c r="Q120"/>
  <c r="P120"/>
  <c r="O120"/>
  <c r="N120"/>
  <c r="L120"/>
  <c r="K120"/>
  <c r="J120"/>
  <c r="I120"/>
  <c r="AB119"/>
  <c r="AA119"/>
  <c r="Z119"/>
  <c r="Y119"/>
  <c r="X119"/>
  <c r="V119"/>
  <c r="F123" l="1"/>
  <c r="E123"/>
  <c r="G123"/>
  <c r="F120"/>
  <c r="E120" s="1"/>
  <c r="D120" s="1"/>
  <c r="U119"/>
  <c r="T119"/>
  <c r="R119"/>
  <c r="Q119" l="1"/>
  <c r="P119"/>
  <c r="O119"/>
  <c r="N119"/>
  <c r="L119"/>
  <c r="K119"/>
  <c r="J119"/>
  <c r="I119"/>
  <c r="V118"/>
  <c r="U118"/>
  <c r="T118"/>
  <c r="R118"/>
  <c r="Q118"/>
  <c r="P118"/>
  <c r="O118"/>
  <c r="N118"/>
  <c r="L118"/>
  <c r="K118"/>
  <c r="J118"/>
  <c r="I118"/>
  <c r="Z117"/>
  <c r="Y117"/>
  <c r="X117"/>
  <c r="V117"/>
  <c r="U117"/>
  <c r="T117"/>
  <c r="R117"/>
  <c r="Q117"/>
  <c r="P117"/>
  <c r="O117"/>
  <c r="M119" l="1"/>
  <c r="G119" s="1"/>
  <c r="F119" s="1"/>
  <c r="E119" s="1"/>
  <c r="D119" s="1"/>
  <c r="M118"/>
  <c r="G118" s="1"/>
  <c r="F118" s="1"/>
  <c r="E118" s="1"/>
  <c r="D118" s="1"/>
  <c r="N117"/>
  <c r="M117" s="1"/>
  <c r="G117" s="1"/>
  <c r="F117" s="1"/>
  <c r="E117" s="1"/>
  <c r="D117" s="1"/>
  <c r="L117"/>
  <c r="K117"/>
  <c r="J117"/>
  <c r="I117"/>
  <c r="V116"/>
  <c r="U116"/>
  <c r="T116"/>
  <c r="Q116"/>
  <c r="P116"/>
  <c r="O116"/>
  <c r="N116"/>
  <c r="M116" s="1"/>
  <c r="L116" l="1"/>
  <c r="K116"/>
  <c r="J116"/>
  <c r="I116"/>
  <c r="G116" s="1"/>
  <c r="F116" s="1"/>
  <c r="E116" s="1"/>
  <c r="D116" s="1"/>
  <c r="V115"/>
  <c r="U115"/>
  <c r="T115"/>
  <c r="Q115"/>
  <c r="P115"/>
  <c r="O115"/>
  <c r="N115"/>
  <c r="M115"/>
  <c r="L115"/>
  <c r="K115"/>
  <c r="J115"/>
  <c r="I115"/>
  <c r="V114"/>
  <c r="U114"/>
  <c r="T114"/>
  <c r="Q114"/>
  <c r="P114"/>
  <c r="O114"/>
  <c r="N114"/>
  <c r="M114"/>
  <c r="G115" l="1"/>
  <c r="F115" s="1"/>
  <c r="E115" s="1"/>
  <c r="D115" s="1"/>
  <c r="L114"/>
  <c r="K114"/>
  <c r="J114"/>
  <c r="I114"/>
  <c r="G114" s="1"/>
  <c r="F114" s="1"/>
  <c r="E114" s="1"/>
  <c r="D114" s="1"/>
  <c r="V113"/>
  <c r="U113"/>
  <c r="T113"/>
  <c r="Q113"/>
  <c r="P113"/>
  <c r="O113"/>
  <c r="N113"/>
  <c r="M113" s="1"/>
  <c r="L113"/>
  <c r="K113"/>
  <c r="J113"/>
  <c r="I113"/>
  <c r="V112"/>
  <c r="U112"/>
  <c r="T112"/>
  <c r="Q112"/>
  <c r="P112"/>
  <c r="O112"/>
  <c r="N112"/>
  <c r="L112"/>
  <c r="K112"/>
  <c r="J112"/>
  <c r="I112"/>
  <c r="V111"/>
  <c r="U111"/>
  <c r="T111"/>
  <c r="Q111"/>
  <c r="P111"/>
  <c r="O111"/>
  <c r="N111"/>
  <c r="M111" l="1"/>
  <c r="M112"/>
  <c r="G113"/>
  <c r="F113" s="1"/>
  <c r="E113" s="1"/>
  <c r="D113" s="1"/>
  <c r="G112"/>
  <c r="F112" s="1"/>
  <c r="E112" s="1"/>
  <c r="D112" s="1"/>
  <c r="L111"/>
  <c r="K111"/>
  <c r="J111"/>
  <c r="I111"/>
  <c r="G111" s="1"/>
  <c r="F111" s="1"/>
  <c r="E111" s="1"/>
  <c r="D111" s="1"/>
  <c r="V110"/>
  <c r="U110"/>
  <c r="T110"/>
  <c r="Q110"/>
  <c r="P110"/>
  <c r="O110"/>
  <c r="N110"/>
  <c r="L110"/>
  <c r="K110"/>
  <c r="J110"/>
  <c r="I110"/>
  <c r="M110" l="1"/>
  <c r="G110"/>
  <c r="F110" s="1"/>
  <c r="E110" s="1"/>
  <c r="D110" s="1"/>
  <c r="V109"/>
  <c r="U109"/>
  <c r="T109"/>
  <c r="R109"/>
  <c r="Q109"/>
  <c r="P109"/>
  <c r="O109"/>
  <c r="N109"/>
  <c r="L109"/>
  <c r="K109"/>
  <c r="J109"/>
  <c r="I109"/>
  <c r="V108"/>
  <c r="U108"/>
  <c r="T108"/>
  <c r="Q108"/>
  <c r="P108"/>
  <c r="O108"/>
  <c r="N108"/>
  <c r="L108"/>
  <c r="K108"/>
  <c r="J108"/>
  <c r="I108"/>
  <c r="V107"/>
  <c r="U107"/>
  <c r="T107"/>
  <c r="Q107"/>
  <c r="P107"/>
  <c r="O107"/>
  <c r="N107"/>
  <c r="M107"/>
  <c r="L107"/>
  <c r="K107"/>
  <c r="J107"/>
  <c r="I107"/>
  <c r="V106"/>
  <c r="U106"/>
  <c r="T106"/>
  <c r="Q106"/>
  <c r="P106"/>
  <c r="O106"/>
  <c r="N106"/>
  <c r="M108" l="1"/>
  <c r="G108"/>
  <c r="F108" s="1"/>
  <c r="E108" s="1"/>
  <c r="D108" s="1"/>
  <c r="G107"/>
  <c r="F107" s="1"/>
  <c r="E107" s="1"/>
  <c r="D107" s="1"/>
  <c r="M109"/>
  <c r="G109" s="1"/>
  <c r="F109" s="1"/>
  <c r="E109" s="1"/>
  <c r="D109" s="1"/>
  <c r="M106"/>
  <c r="L106"/>
  <c r="K106"/>
  <c r="J106"/>
  <c r="I106"/>
  <c r="V105"/>
  <c r="U105"/>
  <c r="T105"/>
  <c r="R105"/>
  <c r="Q105"/>
  <c r="P105"/>
  <c r="O105"/>
  <c r="N105"/>
  <c r="M105" s="1"/>
  <c r="L105"/>
  <c r="K105"/>
  <c r="J105"/>
  <c r="I105"/>
  <c r="G106" l="1"/>
  <c r="F106" s="1"/>
  <c r="E106" s="1"/>
  <c r="D106" s="1"/>
  <c r="G105"/>
  <c r="F105" s="1"/>
  <c r="E105" s="1"/>
  <c r="D105" s="1"/>
  <c r="AG104"/>
  <c r="AF104"/>
  <c r="AE104"/>
  <c r="AD104"/>
  <c r="AB104"/>
  <c r="AA104"/>
  <c r="Z104"/>
  <c r="Y104"/>
  <c r="X104"/>
  <c r="V104"/>
  <c r="U104"/>
  <c r="T104"/>
  <c r="R104"/>
  <c r="Q104"/>
  <c r="P104"/>
  <c r="O104"/>
  <c r="N104"/>
  <c r="L104"/>
  <c r="K104"/>
  <c r="J104"/>
  <c r="I104"/>
  <c r="V103"/>
  <c r="U103"/>
  <c r="T103"/>
  <c r="Q103"/>
  <c r="P103"/>
  <c r="O103"/>
  <c r="N103"/>
  <c r="M103" s="1"/>
  <c r="L103"/>
  <c r="K103"/>
  <c r="J103"/>
  <c r="I103"/>
  <c r="Z102"/>
  <c r="Y102"/>
  <c r="X102"/>
  <c r="V102"/>
  <c r="U102"/>
  <c r="T102"/>
  <c r="Q102"/>
  <c r="G103" l="1"/>
  <c r="F103" s="1"/>
  <c r="E103" s="1"/>
  <c r="D103" s="1"/>
  <c r="M104"/>
  <c r="G104" s="1"/>
  <c r="F104" s="1"/>
  <c r="E104" s="1"/>
  <c r="D104" s="1"/>
  <c r="P102"/>
  <c r="O102"/>
  <c r="M102" s="1"/>
  <c r="N102"/>
  <c r="L102"/>
  <c r="K102"/>
  <c r="J102"/>
  <c r="I102"/>
  <c r="Z101"/>
  <c r="Y101"/>
  <c r="X101"/>
  <c r="V101" s="1"/>
  <c r="U101"/>
  <c r="T101"/>
  <c r="G102" l="1"/>
  <c r="F102" s="1"/>
  <c r="E102" s="1"/>
  <c r="D102" s="1"/>
  <c r="R101"/>
  <c r="Q101"/>
  <c r="P101"/>
  <c r="O101"/>
  <c r="N101"/>
  <c r="L101"/>
  <c r="K101"/>
  <c r="J101"/>
  <c r="I101"/>
  <c r="M101" l="1"/>
  <c r="G101"/>
  <c r="F101"/>
  <c r="E101" s="1"/>
  <c r="D101" s="1"/>
  <c r="Z100" l="1"/>
  <c r="Y100"/>
  <c r="X100"/>
  <c r="V100"/>
  <c r="U100"/>
  <c r="T100"/>
  <c r="Q100"/>
  <c r="P100"/>
  <c r="O100"/>
  <c r="N100"/>
  <c r="L100"/>
  <c r="K100"/>
  <c r="J100"/>
  <c r="I100"/>
  <c r="V99"/>
  <c r="U99"/>
  <c r="T99"/>
  <c r="Q99"/>
  <c r="P99"/>
  <c r="O99"/>
  <c r="N99"/>
  <c r="M99"/>
  <c r="M100" l="1"/>
  <c r="G100"/>
  <c r="F100" s="1"/>
  <c r="E100" s="1"/>
  <c r="D100" s="1"/>
  <c r="L99"/>
  <c r="K99"/>
  <c r="J99"/>
  <c r="I99"/>
  <c r="G99" s="1"/>
  <c r="F99" s="1"/>
  <c r="E99" s="1"/>
  <c r="D99" s="1"/>
  <c r="V98"/>
  <c r="U98"/>
  <c r="T98"/>
  <c r="Q98"/>
  <c r="P98"/>
  <c r="O98"/>
  <c r="N98"/>
  <c r="M98"/>
  <c r="G98" s="1"/>
  <c r="F98" s="1"/>
  <c r="E98" s="1"/>
  <c r="D98" s="1"/>
  <c r="L98"/>
  <c r="K98"/>
  <c r="J98"/>
  <c r="I98"/>
  <c r="V97"/>
  <c r="U97"/>
  <c r="T97"/>
  <c r="Q97"/>
  <c r="P97"/>
  <c r="O97"/>
  <c r="N97"/>
  <c r="M97" l="1"/>
  <c r="L97"/>
  <c r="K97"/>
  <c r="J97"/>
  <c r="I97"/>
  <c r="G97" s="1"/>
  <c r="F97" s="1"/>
  <c r="E97" s="1"/>
  <c r="D97" s="1"/>
  <c r="V96"/>
  <c r="U96"/>
  <c r="T96"/>
  <c r="Q96"/>
  <c r="P96"/>
  <c r="O96"/>
  <c r="N96"/>
  <c r="M96" s="1"/>
  <c r="L96"/>
  <c r="K96"/>
  <c r="J96"/>
  <c r="I96"/>
  <c r="V95"/>
  <c r="U95"/>
  <c r="T95"/>
  <c r="Q95"/>
  <c r="P95"/>
  <c r="O95"/>
  <c r="N95"/>
  <c r="L95"/>
  <c r="K95"/>
  <c r="J95"/>
  <c r="I95"/>
  <c r="V94"/>
  <c r="U94"/>
  <c r="T94"/>
  <c r="Q94"/>
  <c r="P94"/>
  <c r="O94"/>
  <c r="N94"/>
  <c r="M94" s="1"/>
  <c r="L94"/>
  <c r="K94"/>
  <c r="J94"/>
  <c r="I94"/>
  <c r="V93"/>
  <c r="U93"/>
  <c r="T93"/>
  <c r="Q93"/>
  <c r="P93"/>
  <c r="O93"/>
  <c r="N93"/>
  <c r="L93"/>
  <c r="K93"/>
  <c r="J93"/>
  <c r="I93"/>
  <c r="Z92"/>
  <c r="Y92"/>
  <c r="X92"/>
  <c r="V92"/>
  <c r="U92"/>
  <c r="T92"/>
  <c r="Q92"/>
  <c r="P92"/>
  <c r="O92"/>
  <c r="N92"/>
  <c r="L92"/>
  <c r="K92"/>
  <c r="J92"/>
  <c r="I92"/>
  <c r="V91"/>
  <c r="U91"/>
  <c r="T91"/>
  <c r="Q91"/>
  <c r="P91"/>
  <c r="O91"/>
  <c r="N91"/>
  <c r="M91" s="1"/>
  <c r="G91" s="1"/>
  <c r="F91" s="1"/>
  <c r="E91" s="1"/>
  <c r="D91" s="1"/>
  <c r="L91"/>
  <c r="K91"/>
  <c r="J91"/>
  <c r="I91"/>
  <c r="V90"/>
  <c r="U90"/>
  <c r="T90"/>
  <c r="Q90"/>
  <c r="P90"/>
  <c r="O90"/>
  <c r="N90"/>
  <c r="L90"/>
  <c r="K90"/>
  <c r="J90"/>
  <c r="I90"/>
  <c r="V89"/>
  <c r="U89"/>
  <c r="T89"/>
  <c r="Q89"/>
  <c r="P89"/>
  <c r="O89"/>
  <c r="N89"/>
  <c r="L89"/>
  <c r="K89"/>
  <c r="J89"/>
  <c r="I89"/>
  <c r="M90" l="1"/>
  <c r="M92"/>
  <c r="M95"/>
  <c r="M89"/>
  <c r="G89" s="1"/>
  <c r="F89" s="1"/>
  <c r="E89" s="1"/>
  <c r="D89" s="1"/>
  <c r="G95"/>
  <c r="F95" s="1"/>
  <c r="E95" s="1"/>
  <c r="D95" s="1"/>
  <c r="G96"/>
  <c r="F96" s="1"/>
  <c r="E96" s="1"/>
  <c r="D96" s="1"/>
  <c r="G94"/>
  <c r="F94" s="1"/>
  <c r="E94" s="1"/>
  <c r="D94" s="1"/>
  <c r="G92"/>
  <c r="F92" s="1"/>
  <c r="E92" s="1"/>
  <c r="D92" s="1"/>
  <c r="G90"/>
  <c r="F90" s="1"/>
  <c r="E90" s="1"/>
  <c r="D90" s="1"/>
  <c r="M93"/>
  <c r="G93" s="1"/>
  <c r="F93" s="1"/>
  <c r="E93" s="1"/>
  <c r="D93" s="1"/>
  <c r="AG88"/>
  <c r="V88"/>
  <c r="U88"/>
  <c r="T88"/>
  <c r="Q88"/>
  <c r="P88"/>
  <c r="O88"/>
  <c r="N88"/>
  <c r="L88"/>
  <c r="K88"/>
  <c r="J88"/>
  <c r="I88"/>
  <c r="V87"/>
  <c r="U87"/>
  <c r="T87"/>
  <c r="Q87"/>
  <c r="P87"/>
  <c r="O87"/>
  <c r="N87"/>
  <c r="L87"/>
  <c r="K87"/>
  <c r="J87"/>
  <c r="I87"/>
  <c r="V86"/>
  <c r="F86" s="1"/>
  <c r="U86"/>
  <c r="T86"/>
  <c r="Q86"/>
  <c r="P86"/>
  <c r="O86"/>
  <c r="N86"/>
  <c r="L86"/>
  <c r="K86"/>
  <c r="J86"/>
  <c r="I86"/>
  <c r="AE85"/>
  <c r="AD85"/>
  <c r="V85"/>
  <c r="U85"/>
  <c r="T85"/>
  <c r="Q85"/>
  <c r="P85"/>
  <c r="O85"/>
  <c r="N85"/>
  <c r="M85" s="1"/>
  <c r="L85"/>
  <c r="K85"/>
  <c r="J85"/>
  <c r="I85"/>
  <c r="Z84"/>
  <c r="X84"/>
  <c r="V84"/>
  <c r="U84"/>
  <c r="T84"/>
  <c r="D84" s="1"/>
  <c r="Q84"/>
  <c r="P84"/>
  <c r="O84"/>
  <c r="N84"/>
  <c r="L84"/>
  <c r="K84"/>
  <c r="J84"/>
  <c r="I84"/>
  <c r="F84"/>
  <c r="AE83"/>
  <c r="AD83"/>
  <c r="V83"/>
  <c r="U83"/>
  <c r="T83"/>
  <c r="Q83"/>
  <c r="P83"/>
  <c r="O83"/>
  <c r="N83"/>
  <c r="L83"/>
  <c r="K83"/>
  <c r="J83"/>
  <c r="I83" s="1"/>
  <c r="AE82"/>
  <c r="AD82"/>
  <c r="V82"/>
  <c r="U82"/>
  <c r="T82"/>
  <c r="Q82"/>
  <c r="P82"/>
  <c r="O82"/>
  <c r="N82"/>
  <c r="L82"/>
  <c r="K82"/>
  <c r="J82"/>
  <c r="I82"/>
  <c r="AE81"/>
  <c r="AD81"/>
  <c r="V81"/>
  <c r="U81"/>
  <c r="T81"/>
  <c r="Q81"/>
  <c r="P81"/>
  <c r="O81"/>
  <c r="N81"/>
  <c r="M81" s="1"/>
  <c r="L81"/>
  <c r="K81"/>
  <c r="J81"/>
  <c r="I81"/>
  <c r="V80"/>
  <c r="F80" s="1"/>
  <c r="U80"/>
  <c r="T80"/>
  <c r="Q80"/>
  <c r="P80"/>
  <c r="O80"/>
  <c r="N80"/>
  <c r="L80"/>
  <c r="K80"/>
  <c r="J80"/>
  <c r="I80"/>
  <c r="M83" l="1"/>
  <c r="M84"/>
  <c r="E86"/>
  <c r="D86" s="1"/>
  <c r="M88"/>
  <c r="G88" s="1"/>
  <c r="F88" s="1"/>
  <c r="E88" s="1"/>
  <c r="D88" s="1"/>
  <c r="M80"/>
  <c r="G80" s="1"/>
  <c r="E80"/>
  <c r="M82"/>
  <c r="G84"/>
  <c r="G85"/>
  <c r="F85" s="1"/>
  <c r="E85" s="1"/>
  <c r="D85" s="1"/>
  <c r="M87"/>
  <c r="M86"/>
  <c r="G86" s="1"/>
  <c r="G87"/>
  <c r="F87" s="1"/>
  <c r="E87" s="1"/>
  <c r="D87" s="1"/>
  <c r="G81"/>
  <c r="F81" s="1"/>
  <c r="E81" s="1"/>
  <c r="D81" s="1"/>
  <c r="G82"/>
  <c r="F82" s="1"/>
  <c r="E82" s="1"/>
  <c r="D82" s="1"/>
  <c r="G83"/>
  <c r="F83" s="1"/>
  <c r="E83" s="1"/>
  <c r="D83" s="1"/>
  <c r="E84"/>
  <c r="D80"/>
  <c r="AG79"/>
  <c r="AF79"/>
  <c r="AE79"/>
  <c r="AD79"/>
  <c r="V79"/>
  <c r="U79"/>
  <c r="T79"/>
  <c r="Q79"/>
  <c r="P79"/>
  <c r="O79"/>
  <c r="N79"/>
  <c r="AG78"/>
  <c r="AF78"/>
  <c r="AE78"/>
  <c r="AD78"/>
  <c r="V78"/>
  <c r="U78"/>
  <c r="T78"/>
  <c r="Q78"/>
  <c r="P78"/>
  <c r="O78"/>
  <c r="N78"/>
  <c r="M78" s="1"/>
  <c r="L78" s="1"/>
  <c r="K78" s="1"/>
  <c r="J78"/>
  <c r="I78" s="1"/>
  <c r="AG77"/>
  <c r="AF77"/>
  <c r="AE77"/>
  <c r="AD77"/>
  <c r="V77"/>
  <c r="U77"/>
  <c r="T77"/>
  <c r="Q77"/>
  <c r="P77"/>
  <c r="O77"/>
  <c r="N77"/>
  <c r="M77" s="1"/>
  <c r="L77" s="1"/>
  <c r="K77" s="1"/>
  <c r="J77" s="1"/>
  <c r="I77" s="1"/>
  <c r="G77" s="1"/>
  <c r="F77" s="1"/>
  <c r="V76"/>
  <c r="U76"/>
  <c r="T76"/>
  <c r="Q76"/>
  <c r="P76"/>
  <c r="O76"/>
  <c r="N76"/>
  <c r="L76"/>
  <c r="K76"/>
  <c r="J76"/>
  <c r="I76"/>
  <c r="E76"/>
  <c r="D76"/>
  <c r="V75"/>
  <c r="U75"/>
  <c r="T75"/>
  <c r="Q75"/>
  <c r="P75"/>
  <c r="O75"/>
  <c r="N75"/>
  <c r="M75" s="1"/>
  <c r="L75"/>
  <c r="K75"/>
  <c r="J75"/>
  <c r="I75"/>
  <c r="AG74"/>
  <c r="AF74"/>
  <c r="AE74"/>
  <c r="AD74"/>
  <c r="V74"/>
  <c r="U74"/>
  <c r="T74"/>
  <c r="Q74"/>
  <c r="P74"/>
  <c r="O74"/>
  <c r="N74"/>
  <c r="L74"/>
  <c r="K74"/>
  <c r="J74"/>
  <c r="I74"/>
  <c r="M74" l="1"/>
  <c r="G74" s="1"/>
  <c r="F74" s="1"/>
  <c r="M76"/>
  <c r="M79"/>
  <c r="L79" s="1"/>
  <c r="K79" s="1"/>
  <c r="J79" s="1"/>
  <c r="I79" s="1"/>
  <c r="G79" s="1"/>
  <c r="F79" s="1"/>
  <c r="E79" s="1"/>
  <c r="D79" s="1"/>
  <c r="E77"/>
  <c r="D77" s="1"/>
  <c r="G75"/>
  <c r="F75" s="1"/>
  <c r="E75" s="1"/>
  <c r="D75" s="1"/>
  <c r="G76"/>
  <c r="F76" s="1"/>
  <c r="G78"/>
  <c r="F78" s="1"/>
  <c r="E78" s="1"/>
  <c r="D78" s="1"/>
  <c r="E74"/>
  <c r="V73"/>
  <c r="U73"/>
  <c r="T73"/>
  <c r="R73"/>
  <c r="Q73"/>
  <c r="P73"/>
  <c r="O73"/>
  <c r="N73"/>
  <c r="L73"/>
  <c r="K73"/>
  <c r="J73"/>
  <c r="I73"/>
  <c r="V72"/>
  <c r="U72"/>
  <c r="T72"/>
  <c r="R72"/>
  <c r="Q72"/>
  <c r="P72"/>
  <c r="O72"/>
  <c r="N72"/>
  <c r="L72"/>
  <c r="K72"/>
  <c r="J72"/>
  <c r="I72"/>
  <c r="V71"/>
  <c r="U71"/>
  <c r="T71"/>
  <c r="R71"/>
  <c r="Q71"/>
  <c r="P71"/>
  <c r="O71"/>
  <c r="N71"/>
  <c r="L71"/>
  <c r="K71"/>
  <c r="J71"/>
  <c r="I71"/>
  <c r="V70"/>
  <c r="U70"/>
  <c r="T70"/>
  <c r="Q70"/>
  <c r="P70"/>
  <c r="O70"/>
  <c r="N70"/>
  <c r="L70"/>
  <c r="K70"/>
  <c r="J70"/>
  <c r="I70"/>
  <c r="V69"/>
  <c r="U69"/>
  <c r="T69"/>
  <c r="Q69"/>
  <c r="P69"/>
  <c r="O69"/>
  <c r="N69"/>
  <c r="L69"/>
  <c r="K69"/>
  <c r="J69"/>
  <c r="I69"/>
  <c r="V68"/>
  <c r="U68"/>
  <c r="T68"/>
  <c r="Q68"/>
  <c r="P68"/>
  <c r="O68"/>
  <c r="N68"/>
  <c r="L68"/>
  <c r="K68"/>
  <c r="J68"/>
  <c r="I68"/>
  <c r="V67"/>
  <c r="U67"/>
  <c r="T67"/>
  <c r="Q67"/>
  <c r="P67"/>
  <c r="O67"/>
  <c r="N67"/>
  <c r="M68" l="1"/>
  <c r="M70"/>
  <c r="M69"/>
  <c r="G71"/>
  <c r="M71"/>
  <c r="M73"/>
  <c r="D73" s="1"/>
  <c r="F69"/>
  <c r="F70"/>
  <c r="E70" s="1"/>
  <c r="D70" s="1"/>
  <c r="F71"/>
  <c r="E71" s="1"/>
  <c r="D71" s="1"/>
  <c r="F72"/>
  <c r="F73"/>
  <c r="E73" s="1"/>
  <c r="M72"/>
  <c r="E72" s="1"/>
  <c r="D72" s="1"/>
  <c r="G68"/>
  <c r="F68" s="1"/>
  <c r="E68" s="1"/>
  <c r="D68" s="1"/>
  <c r="E69"/>
  <c r="D69" s="1"/>
  <c r="M67"/>
  <c r="L67" l="1"/>
  <c r="K67"/>
  <c r="J67"/>
  <c r="I67"/>
  <c r="F67" s="1"/>
  <c r="E67"/>
  <c r="D67" s="1"/>
  <c r="V66"/>
  <c r="U66"/>
  <c r="T66"/>
  <c r="R66"/>
  <c r="Q66"/>
  <c r="P66"/>
  <c r="O66"/>
  <c r="N66"/>
  <c r="L66"/>
  <c r="K66"/>
  <c r="J66"/>
  <c r="I66"/>
  <c r="Z65"/>
  <c r="Y65"/>
  <c r="X65"/>
  <c r="V65"/>
  <c r="U65"/>
  <c r="T65"/>
  <c r="Q65"/>
  <c r="P65"/>
  <c r="O65"/>
  <c r="N65"/>
  <c r="L65"/>
  <c r="K65"/>
  <c r="J65"/>
  <c r="I65"/>
  <c r="Z64"/>
  <c r="Y64"/>
  <c r="X64"/>
  <c r="V64"/>
  <c r="U64"/>
  <c r="T64"/>
  <c r="Q64"/>
  <c r="P64"/>
  <c r="O64"/>
  <c r="N64"/>
  <c r="L64"/>
  <c r="K64"/>
  <c r="J64"/>
  <c r="I64"/>
  <c r="Z63"/>
  <c r="Y63"/>
  <c r="X63"/>
  <c r="V63"/>
  <c r="U63"/>
  <c r="T63"/>
  <c r="Q63"/>
  <c r="P63"/>
  <c r="O63"/>
  <c r="N63"/>
  <c r="L63"/>
  <c r="K63"/>
  <c r="J63"/>
  <c r="I63"/>
  <c r="V62"/>
  <c r="U62"/>
  <c r="T62"/>
  <c r="Q62"/>
  <c r="P62"/>
  <c r="O62"/>
  <c r="N62"/>
  <c r="M66" l="1"/>
  <c r="F66"/>
  <c r="M63"/>
  <c r="G63" s="1"/>
  <c r="F63" s="1"/>
  <c r="E63" s="1"/>
  <c r="D63" s="1"/>
  <c r="M64"/>
  <c r="G64" s="1"/>
  <c r="F64" s="1"/>
  <c r="E64" s="1"/>
  <c r="D64" s="1"/>
  <c r="M65"/>
  <c r="G65"/>
  <c r="F65" s="1"/>
  <c r="E65" s="1"/>
  <c r="D65" s="1"/>
  <c r="E66"/>
  <c r="D66" s="1"/>
  <c r="M62"/>
  <c r="L62"/>
  <c r="K62"/>
  <c r="J62"/>
  <c r="I62"/>
  <c r="V61"/>
  <c r="U61"/>
  <c r="T61"/>
  <c r="Q61"/>
  <c r="P61"/>
  <c r="O61"/>
  <c r="N61"/>
  <c r="L61"/>
  <c r="K61"/>
  <c r="J61"/>
  <c r="I61"/>
  <c r="G62" l="1"/>
  <c r="F62" s="1"/>
  <c r="E62" s="1"/>
  <c r="D62" s="1"/>
  <c r="M61"/>
  <c r="G61" s="1"/>
  <c r="F61"/>
  <c r="E61"/>
  <c r="D61"/>
  <c r="V60"/>
  <c r="U60"/>
  <c r="E60" s="1"/>
  <c r="T60"/>
  <c r="Q60"/>
  <c r="P60"/>
  <c r="O60"/>
  <c r="N60"/>
  <c r="M60"/>
  <c r="L60"/>
  <c r="K60"/>
  <c r="J60"/>
  <c r="I60"/>
  <c r="D60"/>
  <c r="V59"/>
  <c r="U59"/>
  <c r="E59" s="1"/>
  <c r="T59"/>
  <c r="D59" s="1"/>
  <c r="Q59"/>
  <c r="P59"/>
  <c r="O59"/>
  <c r="N59"/>
  <c r="M59" s="1"/>
  <c r="L59"/>
  <c r="K59"/>
  <c r="J59"/>
  <c r="I59"/>
  <c r="V58"/>
  <c r="U58"/>
  <c r="E58" s="1"/>
  <c r="T58"/>
  <c r="D58" s="1"/>
  <c r="Q58"/>
  <c r="P58"/>
  <c r="O58"/>
  <c r="N58"/>
  <c r="L58"/>
  <c r="K58"/>
  <c r="J58"/>
  <c r="I58"/>
  <c r="V57"/>
  <c r="U57"/>
  <c r="T57"/>
  <c r="Q57"/>
  <c r="P57"/>
  <c r="O57"/>
  <c r="N57"/>
  <c r="M57" s="1"/>
  <c r="L57"/>
  <c r="K57"/>
  <c r="J57"/>
  <c r="I57"/>
  <c r="F57"/>
  <c r="E57"/>
  <c r="D57"/>
  <c r="V56"/>
  <c r="F56" s="1"/>
  <c r="U56"/>
  <c r="T56"/>
  <c r="Q56"/>
  <c r="P56"/>
  <c r="O56"/>
  <c r="N56"/>
  <c r="L56"/>
  <c r="K56"/>
  <c r="J56"/>
  <c r="I56"/>
  <c r="E56"/>
  <c r="V55"/>
  <c r="U55"/>
  <c r="T55"/>
  <c r="M56" l="1"/>
  <c r="G60"/>
  <c r="F60" s="1"/>
  <c r="M58"/>
  <c r="G58" s="1"/>
  <c r="F58" s="1"/>
  <c r="G59"/>
  <c r="F59" s="1"/>
  <c r="G57"/>
  <c r="D56"/>
  <c r="G56"/>
  <c r="Q55"/>
  <c r="P55"/>
  <c r="O55"/>
  <c r="N55"/>
  <c r="L55"/>
  <c r="K55"/>
  <c r="J55"/>
  <c r="I55"/>
  <c r="F55"/>
  <c r="M55" l="1"/>
  <c r="G55"/>
  <c r="E55"/>
  <c r="D55"/>
  <c r="V54"/>
  <c r="U54"/>
  <c r="T54"/>
  <c r="Q54"/>
  <c r="P54"/>
  <c r="O54"/>
  <c r="N54"/>
  <c r="L54"/>
  <c r="K54"/>
  <c r="J54"/>
  <c r="I54"/>
  <c r="V53"/>
  <c r="U53"/>
  <c r="T53"/>
  <c r="Q53"/>
  <c r="P53"/>
  <c r="O53"/>
  <c r="N53"/>
  <c r="M53" s="1"/>
  <c r="L53"/>
  <c r="K53"/>
  <c r="J53"/>
  <c r="I53"/>
  <c r="V52"/>
  <c r="U52"/>
  <c r="T52"/>
  <c r="Q52"/>
  <c r="P52"/>
  <c r="O52"/>
  <c r="N52"/>
  <c r="L52"/>
  <c r="K52"/>
  <c r="J52"/>
  <c r="I52"/>
  <c r="M52" l="1"/>
  <c r="M54"/>
  <c r="G54" s="1"/>
  <c r="F54" s="1"/>
  <c r="E54" s="1"/>
  <c r="D54" s="1"/>
  <c r="G53"/>
  <c r="F53" s="1"/>
  <c r="E53" s="1"/>
  <c r="D53" s="1"/>
  <c r="G52"/>
  <c r="F52" s="1"/>
  <c r="D52"/>
  <c r="V51"/>
  <c r="U51"/>
  <c r="T51"/>
  <c r="Q51"/>
  <c r="P51"/>
  <c r="O51"/>
  <c r="N51"/>
  <c r="M51" s="1"/>
  <c r="L51"/>
  <c r="K51"/>
  <c r="J51"/>
  <c r="I51"/>
  <c r="V50"/>
  <c r="U50"/>
  <c r="T50"/>
  <c r="Q50"/>
  <c r="P50"/>
  <c r="O50"/>
  <c r="N50"/>
  <c r="M50" s="1"/>
  <c r="G51" l="1"/>
  <c r="F51" s="1"/>
  <c r="E51" s="1"/>
  <c r="D51" s="1"/>
  <c r="L50"/>
  <c r="K50"/>
  <c r="J50"/>
  <c r="I50"/>
  <c r="G50" s="1"/>
  <c r="F50" s="1"/>
  <c r="E50" s="1"/>
  <c r="V49"/>
  <c r="U49"/>
  <c r="T49"/>
  <c r="Q49"/>
  <c r="P49"/>
  <c r="O49"/>
  <c r="N49"/>
  <c r="M49" s="1"/>
  <c r="L49"/>
  <c r="K49"/>
  <c r="J49"/>
  <c r="I49"/>
  <c r="V48"/>
  <c r="U48"/>
  <c r="T48"/>
  <c r="Q48"/>
  <c r="P48"/>
  <c r="O48"/>
  <c r="N48"/>
  <c r="L48"/>
  <c r="K48"/>
  <c r="J48"/>
  <c r="I48"/>
  <c r="V47"/>
  <c r="U47"/>
  <c r="T47"/>
  <c r="Q47"/>
  <c r="P47"/>
  <c r="O47"/>
  <c r="N47"/>
  <c r="M47"/>
  <c r="L47"/>
  <c r="K47"/>
  <c r="J47"/>
  <c r="I47"/>
  <c r="V46"/>
  <c r="U46"/>
  <c r="T46"/>
  <c r="Q46"/>
  <c r="P46"/>
  <c r="M48" l="1"/>
  <c r="G49"/>
  <c r="F49" s="1"/>
  <c r="D49" s="1"/>
  <c r="G48"/>
  <c r="F48" s="1"/>
  <c r="E48" s="1"/>
  <c r="D48" s="1"/>
  <c r="G47"/>
  <c r="F47" s="1"/>
  <c r="E47" s="1"/>
  <c r="D47" s="1"/>
  <c r="O46"/>
  <c r="N46"/>
  <c r="M46" s="1"/>
  <c r="L46" l="1"/>
  <c r="K46"/>
  <c r="J46"/>
  <c r="I46"/>
  <c r="G46" s="1"/>
  <c r="F46" s="1"/>
  <c r="E46" s="1"/>
  <c r="D46" s="1"/>
  <c r="V45"/>
  <c r="U45"/>
  <c r="T45"/>
  <c r="Q45"/>
  <c r="P45"/>
  <c r="O45"/>
  <c r="N45"/>
  <c r="M45"/>
  <c r="L45"/>
  <c r="K45"/>
  <c r="J45"/>
  <c r="I45"/>
  <c r="G45" s="1"/>
  <c r="F45"/>
  <c r="D45"/>
  <c r="V44"/>
  <c r="U44"/>
  <c r="T44"/>
  <c r="Q44"/>
  <c r="P44"/>
  <c r="O44"/>
  <c r="N44"/>
  <c r="M44"/>
  <c r="G44" s="1"/>
  <c r="F44" s="1"/>
  <c r="E44" s="1"/>
  <c r="D44" s="1"/>
  <c r="L44"/>
  <c r="K44"/>
  <c r="J44"/>
  <c r="I44"/>
  <c r="V43"/>
  <c r="U43"/>
  <c r="T43"/>
  <c r="Q43"/>
  <c r="P43"/>
  <c r="O43"/>
  <c r="N43"/>
  <c r="L43"/>
  <c r="K43"/>
  <c r="J43"/>
  <c r="I43"/>
  <c r="AE42"/>
  <c r="AD42"/>
  <c r="V42"/>
  <c r="F42" s="1"/>
  <c r="U42"/>
  <c r="T42"/>
  <c r="Q42"/>
  <c r="P42"/>
  <c r="O42"/>
  <c r="N42"/>
  <c r="M42" s="1"/>
  <c r="L42"/>
  <c r="K42"/>
  <c r="J42"/>
  <c r="I42"/>
  <c r="E42"/>
  <c r="M43" l="1"/>
  <c r="G42"/>
  <c r="E45"/>
  <c r="G43"/>
  <c r="F43" s="1"/>
  <c r="E43" s="1"/>
  <c r="D43" s="1"/>
  <c r="D42"/>
  <c r="Z41"/>
  <c r="Y41"/>
  <c r="X41"/>
  <c r="V41"/>
  <c r="U41"/>
  <c r="T41"/>
  <c r="Q41"/>
  <c r="P41"/>
  <c r="O41"/>
  <c r="N41"/>
  <c r="K41"/>
  <c r="J41"/>
  <c r="M41" l="1"/>
  <c r="L41" s="1"/>
  <c r="I41"/>
  <c r="G41" s="1"/>
  <c r="F41" s="1"/>
  <c r="E41" s="1"/>
  <c r="D41" s="1"/>
  <c r="Z40"/>
  <c r="Y40"/>
  <c r="X40"/>
  <c r="V40"/>
  <c r="U40"/>
  <c r="T40"/>
  <c r="Q40"/>
  <c r="P40"/>
  <c r="O40"/>
  <c r="N40"/>
  <c r="M40" s="1"/>
  <c r="L40" s="1"/>
  <c r="K40"/>
  <c r="J40"/>
  <c r="I40"/>
  <c r="G40" l="1"/>
  <c r="F40" s="1"/>
  <c r="E40" s="1"/>
  <c r="D40" s="1"/>
  <c r="Z39"/>
  <c r="Y39"/>
  <c r="X39"/>
  <c r="V39"/>
  <c r="U39"/>
  <c r="T39"/>
  <c r="Q39"/>
  <c r="P39"/>
  <c r="O39"/>
  <c r="N39" l="1"/>
  <c r="M39"/>
  <c r="L39" s="1"/>
  <c r="K39"/>
  <c r="J39"/>
  <c r="I39"/>
  <c r="H39"/>
  <c r="G39" l="1"/>
  <c r="F39"/>
  <c r="E39"/>
  <c r="D39"/>
  <c r="Z38"/>
  <c r="Y38"/>
  <c r="X38"/>
  <c r="V38"/>
  <c r="U38"/>
  <c r="T38"/>
  <c r="Q38" l="1"/>
  <c r="P38"/>
  <c r="O38"/>
  <c r="N38"/>
  <c r="M38" s="1"/>
  <c r="L38" s="1"/>
  <c r="K38"/>
  <c r="J38"/>
  <c r="I38"/>
  <c r="H38" s="1"/>
  <c r="G38" l="1"/>
  <c r="F38"/>
  <c r="E38"/>
  <c r="D38"/>
  <c r="V37"/>
  <c r="U37"/>
  <c r="T37"/>
  <c r="Q37"/>
  <c r="P37"/>
  <c r="O37"/>
  <c r="M37" s="1"/>
  <c r="N37"/>
  <c r="L37" l="1"/>
  <c r="K37"/>
  <c r="J37"/>
  <c r="I37"/>
  <c r="G37"/>
  <c r="F37" s="1"/>
  <c r="E37" s="1"/>
  <c r="D37" s="1"/>
  <c r="Z36"/>
  <c r="Y36"/>
  <c r="X36"/>
  <c r="V36"/>
  <c r="U36"/>
  <c r="T36"/>
  <c r="Q36"/>
  <c r="P36"/>
  <c r="O36"/>
  <c r="N36"/>
  <c r="L36"/>
  <c r="K36"/>
  <c r="J36"/>
  <c r="I36"/>
  <c r="Z35"/>
  <c r="Y35"/>
  <c r="X35"/>
  <c r="V35"/>
  <c r="U35"/>
  <c r="T35"/>
  <c r="Q35"/>
  <c r="P35"/>
  <c r="O35"/>
  <c r="N35"/>
  <c r="L35"/>
  <c r="K35"/>
  <c r="J35"/>
  <c r="I35"/>
  <c r="Z34"/>
  <c r="Y34"/>
  <c r="X34"/>
  <c r="V34"/>
  <c r="U34"/>
  <c r="T34"/>
  <c r="R34"/>
  <c r="Q34"/>
  <c r="P34"/>
  <c r="O34"/>
  <c r="N34"/>
  <c r="L34"/>
  <c r="K34"/>
  <c r="J34"/>
  <c r="I34"/>
  <c r="V33"/>
  <c r="U33"/>
  <c r="T33"/>
  <c r="Q33"/>
  <c r="P33"/>
  <c r="O33"/>
  <c r="N33"/>
  <c r="L33"/>
  <c r="K33"/>
  <c r="J33"/>
  <c r="I33"/>
  <c r="V32"/>
  <c r="U32"/>
  <c r="T32"/>
  <c r="Q32"/>
  <c r="P32"/>
  <c r="O32"/>
  <c r="N32"/>
  <c r="M32" s="1"/>
  <c r="L32"/>
  <c r="K32"/>
  <c r="J32"/>
  <c r="I32"/>
  <c r="V31"/>
  <c r="U31"/>
  <c r="T31"/>
  <c r="R31"/>
  <c r="Q31"/>
  <c r="P31"/>
  <c r="O31"/>
  <c r="N31"/>
  <c r="M34" l="1"/>
  <c r="M33"/>
  <c r="M35"/>
  <c r="G35" s="1"/>
  <c r="F35" s="1"/>
  <c r="E35" s="1"/>
  <c r="D35" s="1"/>
  <c r="M36"/>
  <c r="G36" s="1"/>
  <c r="F36" s="1"/>
  <c r="G34"/>
  <c r="F34" s="1"/>
  <c r="E34" s="1"/>
  <c r="D34" s="1"/>
  <c r="E36"/>
  <c r="D36" s="1"/>
  <c r="G33"/>
  <c r="F33" s="1"/>
  <c r="E33" s="1"/>
  <c r="D33" s="1"/>
  <c r="G32"/>
  <c r="F32" s="1"/>
  <c r="E32" s="1"/>
  <c r="D32" s="1"/>
  <c r="M31"/>
  <c r="G31" s="1"/>
  <c r="F31" s="1"/>
  <c r="E31" s="1"/>
  <c r="D31" s="1"/>
  <c r="L31"/>
  <c r="K31"/>
  <c r="J31"/>
  <c r="I31"/>
  <c r="V30" l="1"/>
  <c r="U30"/>
  <c r="T30"/>
  <c r="Q30"/>
  <c r="P30"/>
  <c r="O30"/>
  <c r="N30" l="1"/>
  <c r="M30" s="1"/>
  <c r="L30"/>
  <c r="K30"/>
  <c r="J30"/>
  <c r="I30"/>
  <c r="V29"/>
  <c r="U29"/>
  <c r="T29"/>
  <c r="Q29"/>
  <c r="P29"/>
  <c r="O29"/>
  <c r="N29"/>
  <c r="M29" s="1"/>
  <c r="L29"/>
  <c r="K29"/>
  <c r="J29"/>
  <c r="I29"/>
  <c r="V28"/>
  <c r="U28"/>
  <c r="T28"/>
  <c r="Q28"/>
  <c r="P28"/>
  <c r="O28"/>
  <c r="N28"/>
  <c r="L28"/>
  <c r="K28"/>
  <c r="J28"/>
  <c r="I28"/>
  <c r="V27"/>
  <c r="U27"/>
  <c r="T27"/>
  <c r="Q27"/>
  <c r="P27"/>
  <c r="O27"/>
  <c r="N27"/>
  <c r="L27"/>
  <c r="K27"/>
  <c r="J27"/>
  <c r="I27"/>
  <c r="V26"/>
  <c r="U26"/>
  <c r="T26"/>
  <c r="Q26"/>
  <c r="P26"/>
  <c r="O26"/>
  <c r="N26"/>
  <c r="L26"/>
  <c r="K26"/>
  <c r="J26"/>
  <c r="I26"/>
  <c r="V25"/>
  <c r="U25"/>
  <c r="T25"/>
  <c r="Q25"/>
  <c r="P25"/>
  <c r="O25"/>
  <c r="N25"/>
  <c r="M25" s="1"/>
  <c r="G25" s="1"/>
  <c r="F25" s="1"/>
  <c r="L25"/>
  <c r="K25"/>
  <c r="J25"/>
  <c r="I25"/>
  <c r="V24"/>
  <c r="U24"/>
  <c r="T24"/>
  <c r="R24"/>
  <c r="Q24"/>
  <c r="P24"/>
  <c r="O24"/>
  <c r="N24"/>
  <c r="M24" s="1"/>
  <c r="L24"/>
  <c r="K24"/>
  <c r="J24"/>
  <c r="I24"/>
  <c r="M28" l="1"/>
  <c r="M26"/>
  <c r="G29"/>
  <c r="F29" s="1"/>
  <c r="E29" s="1"/>
  <c r="D29" s="1"/>
  <c r="G28"/>
  <c r="F28" s="1"/>
  <c r="E28" s="1"/>
  <c r="D28" s="1"/>
  <c r="E25"/>
  <c r="D25" s="1"/>
  <c r="G26"/>
  <c r="F26" s="1"/>
  <c r="E26" s="1"/>
  <c r="D26" s="1"/>
  <c r="M27"/>
  <c r="G27" s="1"/>
  <c r="F27" s="1"/>
  <c r="E27" s="1"/>
  <c r="D27" s="1"/>
  <c r="G30"/>
  <c r="F30" s="1"/>
  <c r="E30" s="1"/>
  <c r="D30" s="1"/>
  <c r="G24"/>
  <c r="F24" s="1"/>
  <c r="E24" s="1"/>
  <c r="D24" s="1"/>
  <c r="AG23"/>
  <c r="AF23"/>
  <c r="AE23"/>
  <c r="AD23"/>
  <c r="V23"/>
  <c r="U23"/>
  <c r="T23"/>
  <c r="Q23"/>
  <c r="P23"/>
  <c r="O23"/>
  <c r="N23"/>
  <c r="M23" s="1"/>
  <c r="L23" s="1"/>
  <c r="K23" s="1"/>
  <c r="J23" s="1"/>
  <c r="I23" s="1"/>
  <c r="V22"/>
  <c r="U22"/>
  <c r="T22"/>
  <c r="Q22"/>
  <c r="P22"/>
  <c r="O22"/>
  <c r="N22"/>
  <c r="L22"/>
  <c r="K22"/>
  <c r="J22"/>
  <c r="I22"/>
  <c r="V21"/>
  <c r="U21"/>
  <c r="T21"/>
  <c r="R21"/>
  <c r="Q21"/>
  <c r="P21"/>
  <c r="O21"/>
  <c r="N21"/>
  <c r="L21"/>
  <c r="K21"/>
  <c r="J21"/>
  <c r="I21"/>
  <c r="V20"/>
  <c r="U20"/>
  <c r="T20"/>
  <c r="M21" l="1"/>
  <c r="G21" s="1"/>
  <c r="F21" s="1"/>
  <c r="E21" s="1"/>
  <c r="D21" s="1"/>
  <c r="M22"/>
  <c r="G22" s="1"/>
  <c r="F22" s="1"/>
  <c r="E22" s="1"/>
  <c r="D22" s="1"/>
  <c r="W23"/>
  <c r="E23" s="1"/>
  <c r="R20"/>
  <c r="Q20"/>
  <c r="P20"/>
  <c r="O20"/>
  <c r="N20"/>
  <c r="L20"/>
  <c r="K20"/>
  <c r="J20"/>
  <c r="I20"/>
  <c r="V19"/>
  <c r="U19"/>
  <c r="T19"/>
  <c r="R19"/>
  <c r="Q19"/>
  <c r="P19"/>
  <c r="O19"/>
  <c r="N19"/>
  <c r="L19"/>
  <c r="K19"/>
  <c r="J19"/>
  <c r="I19"/>
  <c r="AA18"/>
  <c r="Q18" s="1"/>
  <c r="Z18"/>
  <c r="Y18"/>
  <c r="X18"/>
  <c r="V18"/>
  <c r="U18"/>
  <c r="T18"/>
  <c r="P18"/>
  <c r="N18"/>
  <c r="L18"/>
  <c r="K18"/>
  <c r="J18"/>
  <c r="I18"/>
  <c r="V17"/>
  <c r="U17"/>
  <c r="T17"/>
  <c r="R17"/>
  <c r="Q17"/>
  <c r="P17"/>
  <c r="O17"/>
  <c r="N17"/>
  <c r="L17"/>
  <c r="K17"/>
  <c r="J17"/>
  <c r="I17"/>
  <c r="Z16"/>
  <c r="Y16"/>
  <c r="X16"/>
  <c r="V16"/>
  <c r="U16"/>
  <c r="T16"/>
  <c r="R16"/>
  <c r="Q16"/>
  <c r="P16"/>
  <c r="O16"/>
  <c r="N16"/>
  <c r="L16"/>
  <c r="K16"/>
  <c r="J16"/>
  <c r="I16"/>
  <c r="F16"/>
  <c r="E16" s="1"/>
  <c r="D16" s="1"/>
  <c r="Z15"/>
  <c r="Y15"/>
  <c r="X15"/>
  <c r="V15"/>
  <c r="U15"/>
  <c r="T15"/>
  <c r="R15"/>
  <c r="Q15"/>
  <c r="P15"/>
  <c r="O15"/>
  <c r="N15"/>
  <c r="L15"/>
  <c r="K15"/>
  <c r="J15"/>
  <c r="I15"/>
  <c r="Z14"/>
  <c r="Y14"/>
  <c r="X14"/>
  <c r="V14"/>
  <c r="U14"/>
  <c r="T14"/>
  <c r="R14"/>
  <c r="F14" s="1"/>
  <c r="E14" s="1"/>
  <c r="D14" s="1"/>
  <c r="Q14"/>
  <c r="P14"/>
  <c r="O14"/>
  <c r="N14"/>
  <c r="L14"/>
  <c r="K14"/>
  <c r="J14"/>
  <c r="I14"/>
  <c r="AB13"/>
  <c r="AA13"/>
  <c r="P13" s="1"/>
  <c r="Z13"/>
  <c r="Y13"/>
  <c r="X13"/>
  <c r="V13"/>
  <c r="U13"/>
  <c r="T13"/>
  <c r="R13"/>
  <c r="Q13"/>
  <c r="O13"/>
  <c r="L13"/>
  <c r="K13"/>
  <c r="J13"/>
  <c r="I13"/>
  <c r="AB12"/>
  <c r="AA12"/>
  <c r="P12" s="1"/>
  <c r="Z12"/>
  <c r="Y12"/>
  <c r="X12"/>
  <c r="V12"/>
  <c r="U12"/>
  <c r="T12"/>
  <c r="R12"/>
  <c r="Q12"/>
  <c r="O12"/>
  <c r="L12"/>
  <c r="K12"/>
  <c r="J12"/>
  <c r="I12"/>
  <c r="V11"/>
  <c r="U11"/>
  <c r="T11"/>
  <c r="D11" s="1"/>
  <c r="Q11"/>
  <c r="P11"/>
  <c r="O11"/>
  <c r="N11"/>
  <c r="L11"/>
  <c r="K11"/>
  <c r="J11"/>
  <c r="I11"/>
  <c r="V10"/>
  <c r="U10"/>
  <c r="T10"/>
  <c r="R10"/>
  <c r="Q10"/>
  <c r="P10"/>
  <c r="O10"/>
  <c r="N10"/>
  <c r="L10"/>
  <c r="K10"/>
  <c r="J10"/>
  <c r="I10"/>
  <c r="V9"/>
  <c r="U9"/>
  <c r="T9"/>
  <c r="Q9"/>
  <c r="P9"/>
  <c r="O9"/>
  <c r="N9"/>
  <c r="M9" s="1"/>
  <c r="G9" s="1"/>
  <c r="F9" s="1"/>
  <c r="E9" s="1"/>
  <c r="D9" s="1"/>
  <c r="L9"/>
  <c r="K9"/>
  <c r="J9"/>
  <c r="I9"/>
  <c r="Z8"/>
  <c r="Y8"/>
  <c r="X8"/>
  <c r="V8"/>
  <c r="U8"/>
  <c r="T8"/>
  <c r="R8"/>
  <c r="Q8"/>
  <c r="P8"/>
  <c r="O8"/>
  <c r="N8"/>
  <c r="L8"/>
  <c r="K8"/>
  <c r="J8"/>
  <c r="I8"/>
  <c r="R7"/>
  <c r="V7"/>
  <c r="U7"/>
  <c r="T7"/>
  <c r="Q7"/>
  <c r="P7"/>
  <c r="O7"/>
  <c r="N7"/>
  <c r="L7"/>
  <c r="K7"/>
  <c r="J7"/>
  <c r="I7"/>
  <c r="Q6"/>
  <c r="P6"/>
  <c r="O6"/>
  <c r="N6"/>
  <c r="F6"/>
  <c r="E6"/>
  <c r="D6"/>
  <c r="R5"/>
  <c r="Q5"/>
  <c r="P5"/>
  <c r="O5"/>
  <c r="N5"/>
  <c r="F5"/>
  <c r="E5"/>
  <c r="D5"/>
  <c r="M16" l="1"/>
  <c r="M17"/>
  <c r="G17" s="1"/>
  <c r="F17" s="1"/>
  <c r="E17" s="1"/>
  <c r="D17" s="1"/>
  <c r="M19"/>
  <c r="G19" s="1"/>
  <c r="F19" s="1"/>
  <c r="E19" s="1"/>
  <c r="D19" s="1"/>
  <c r="M5"/>
  <c r="G5" s="1"/>
  <c r="M11"/>
  <c r="G11" s="1"/>
  <c r="D23"/>
  <c r="M20"/>
  <c r="G20" s="1"/>
  <c r="F20" s="1"/>
  <c r="E20" s="1"/>
  <c r="D20" s="1"/>
  <c r="M10"/>
  <c r="M6"/>
  <c r="G6" s="1"/>
  <c r="F11"/>
  <c r="E11" s="1"/>
  <c r="F15"/>
  <c r="E15" s="1"/>
  <c r="D15" s="1"/>
  <c r="M7"/>
  <c r="G7" s="1"/>
  <c r="F7" s="1"/>
  <c r="E7" s="1"/>
  <c r="D7" s="1"/>
  <c r="M8"/>
  <c r="G8" s="1"/>
  <c r="F8" s="1"/>
  <c r="E8" s="1"/>
  <c r="D8" s="1"/>
  <c r="G10"/>
  <c r="F10" s="1"/>
  <c r="E10" s="1"/>
  <c r="D10" s="1"/>
  <c r="N12"/>
  <c r="M12" s="1"/>
  <c r="G12" s="1"/>
  <c r="F12" s="1"/>
  <c r="E12" s="1"/>
  <c r="D12" s="1"/>
  <c r="N13"/>
  <c r="M13" s="1"/>
  <c r="M14"/>
  <c r="G14" s="1"/>
  <c r="G16"/>
  <c r="O18"/>
  <c r="M18" s="1"/>
  <c r="G18" s="1"/>
  <c r="F18" s="1"/>
  <c r="E18" s="1"/>
  <c r="D18" s="1"/>
  <c r="F23"/>
  <c r="M122"/>
  <c r="G122" s="1"/>
  <c r="M121"/>
  <c r="G121" s="1"/>
  <c r="M120"/>
  <c r="G120" s="1"/>
  <c r="G13"/>
  <c r="F13" s="1"/>
  <c r="E13" s="1"/>
  <c r="D13" s="1"/>
  <c r="M15"/>
  <c r="G15" s="1"/>
  <c r="AG4"/>
  <c r="AF4"/>
  <c r="AE4"/>
  <c r="AD4"/>
  <c r="AB4"/>
  <c r="AA4"/>
  <c r="Z4"/>
  <c r="Y4"/>
  <c r="X4"/>
  <c r="V4" s="1"/>
  <c r="U4" s="1"/>
  <c r="T4"/>
  <c r="R4"/>
  <c r="Q4"/>
  <c r="P4"/>
  <c r="O4"/>
  <c r="N4"/>
  <c r="M4" l="1"/>
  <c r="L4" s="1"/>
  <c r="K4" s="1"/>
  <c r="J4" s="1"/>
  <c r="I4" s="1"/>
  <c r="AG3"/>
  <c r="AF3"/>
  <c r="AE3"/>
  <c r="AD3"/>
  <c r="V3"/>
  <c r="U3"/>
  <c r="T3"/>
  <c r="R3"/>
  <c r="Q3"/>
  <c r="P3"/>
  <c r="O3"/>
  <c r="N3"/>
  <c r="R2"/>
  <c r="Q2"/>
  <c r="P2"/>
  <c r="O2"/>
  <c r="N2"/>
  <c r="F2"/>
  <c r="E2"/>
  <c r="D2"/>
  <c r="J184" i="1"/>
  <c r="E184"/>
  <c r="J183"/>
  <c r="G4" i="3" l="1"/>
  <c r="E4"/>
  <c r="M3"/>
  <c r="L3" s="1"/>
  <c r="K3" s="1"/>
  <c r="J3" s="1"/>
  <c r="I3" s="1"/>
  <c r="D4"/>
  <c r="F4"/>
  <c r="M2"/>
  <c r="G2" s="1"/>
  <c r="G3"/>
  <c r="F3" s="1"/>
  <c r="E3" s="1"/>
  <c r="D3" s="1"/>
  <c r="G183" i="1"/>
  <c r="G184" s="1"/>
  <c r="E183"/>
  <c r="J182"/>
  <c r="E182"/>
  <c r="J181"/>
  <c r="E181"/>
  <c r="J180"/>
  <c r="E180"/>
  <c r="J179"/>
  <c r="G179"/>
  <c r="E179"/>
  <c r="J178"/>
  <c r="G178" s="1"/>
  <c r="E178"/>
  <c r="J177"/>
  <c r="G177"/>
  <c r="E177"/>
  <c r="J176"/>
  <c r="G176"/>
  <c r="E176"/>
  <c r="J175"/>
  <c r="G175"/>
  <c r="E175"/>
  <c r="J174"/>
  <c r="G174"/>
  <c r="E174"/>
  <c r="J173"/>
  <c r="G173"/>
  <c r="E173"/>
  <c r="J172"/>
  <c r="G182" l="1"/>
  <c r="G180"/>
  <c r="G181"/>
  <c r="E172"/>
  <c r="J171"/>
  <c r="G171" s="1"/>
  <c r="G172" s="1"/>
  <c r="E171"/>
  <c r="J170"/>
  <c r="E170"/>
  <c r="J169"/>
  <c r="G169" s="1"/>
  <c r="E169"/>
  <c r="J168"/>
  <c r="G168" s="1"/>
  <c r="E168"/>
  <c r="J167"/>
  <c r="G167" s="1"/>
  <c r="E167"/>
  <c r="J166"/>
  <c r="G166" s="1"/>
  <c r="E166"/>
  <c r="J165"/>
  <c r="G170" l="1"/>
  <c r="G165"/>
  <c r="E165"/>
  <c r="J164"/>
  <c r="G164"/>
  <c r="E164"/>
  <c r="J163"/>
  <c r="E163"/>
  <c r="J162"/>
  <c r="E162"/>
  <c r="J161"/>
  <c r="G161" s="1"/>
  <c r="E161"/>
  <c r="J160"/>
  <c r="G160" s="1"/>
  <c r="E160"/>
  <c r="J159"/>
  <c r="G159" s="1"/>
  <c r="E159"/>
  <c r="J158"/>
  <c r="G162" l="1"/>
  <c r="G163"/>
  <c r="G158"/>
  <c r="E158"/>
  <c r="J157"/>
  <c r="E157"/>
  <c r="J156"/>
  <c r="G156" s="1"/>
  <c r="E156"/>
  <c r="J155"/>
  <c r="G155" s="1"/>
  <c r="E155"/>
  <c r="J154"/>
  <c r="G154" s="1"/>
  <c r="E154"/>
  <c r="J153"/>
  <c r="G153" s="1"/>
  <c r="E153"/>
  <c r="J152"/>
  <c r="E152"/>
  <c r="J151"/>
  <c r="G151" s="1"/>
  <c r="E151"/>
  <c r="J150"/>
  <c r="G150" s="1"/>
  <c r="E150"/>
  <c r="J149"/>
  <c r="E149"/>
  <c r="J148"/>
  <c r="G148" s="1"/>
  <c r="E148"/>
  <c r="J147"/>
  <c r="E147"/>
  <c r="J146"/>
  <c r="E146"/>
  <c r="J145"/>
  <c r="G145" s="1"/>
  <c r="E145"/>
  <c r="J144"/>
  <c r="G144" s="1"/>
  <c r="E144"/>
  <c r="J142"/>
  <c r="G142"/>
  <c r="E142"/>
  <c r="J141"/>
  <c r="E141"/>
  <c r="J140"/>
  <c r="G140"/>
  <c r="E140"/>
  <c r="J139"/>
  <c r="G139" s="1"/>
  <c r="E139"/>
  <c r="J137"/>
  <c r="E137"/>
  <c r="J136"/>
  <c r="G136" s="1"/>
  <c r="E136"/>
  <c r="G137" l="1"/>
  <c r="G146"/>
  <c r="G147"/>
  <c r="G149"/>
  <c r="G152"/>
  <c r="G157"/>
  <c r="G141"/>
  <c r="J134"/>
  <c r="E134"/>
  <c r="J133"/>
  <c r="G133" s="1"/>
  <c r="E133"/>
  <c r="J132"/>
  <c r="G132" s="1"/>
  <c r="E132"/>
  <c r="J131"/>
  <c r="G131" s="1"/>
  <c r="E131"/>
  <c r="J130"/>
  <c r="G130"/>
  <c r="E130"/>
  <c r="J129"/>
  <c r="G129" s="1"/>
  <c r="E129"/>
  <c r="J128"/>
  <c r="G128" s="1"/>
  <c r="E128"/>
  <c r="J127"/>
  <c r="G127"/>
  <c r="E127"/>
  <c r="J126"/>
  <c r="G126" s="1"/>
  <c r="E126"/>
  <c r="J125"/>
  <c r="G125"/>
  <c r="E125"/>
  <c r="J123"/>
  <c r="G123" s="1"/>
  <c r="E123"/>
  <c r="J122"/>
  <c r="G122" s="1"/>
  <c r="G134" l="1"/>
  <c r="E122"/>
  <c r="J121"/>
  <c r="G121" s="1"/>
  <c r="E121"/>
  <c r="J120"/>
  <c r="G120" s="1"/>
  <c r="E120"/>
  <c r="J119"/>
  <c r="G119" s="1"/>
  <c r="E119"/>
  <c r="J118"/>
  <c r="G118" s="1"/>
  <c r="E118"/>
  <c r="J117"/>
  <c r="G117" s="1"/>
  <c r="E117"/>
  <c r="J116"/>
  <c r="G116" s="1"/>
  <c r="E116"/>
  <c r="J115"/>
  <c r="G115" s="1"/>
  <c r="E115"/>
  <c r="J114"/>
  <c r="G114" s="1"/>
  <c r="E114"/>
  <c r="J113"/>
  <c r="G113" s="1"/>
  <c r="E113"/>
  <c r="J112"/>
  <c r="G112" s="1"/>
  <c r="E112"/>
  <c r="J111"/>
  <c r="G111" s="1"/>
  <c r="E111"/>
  <c r="J110"/>
  <c r="G110" s="1"/>
  <c r="E110"/>
  <c r="J108"/>
  <c r="G108" s="1"/>
  <c r="E108"/>
  <c r="J107"/>
  <c r="G107" s="1"/>
  <c r="E107"/>
  <c r="J106"/>
  <c r="G106" s="1"/>
  <c r="E106"/>
  <c r="J105"/>
  <c r="G105" s="1"/>
  <c r="E105"/>
  <c r="J104"/>
  <c r="G104" s="1"/>
  <c r="E104"/>
  <c r="J103"/>
  <c r="G103" s="1"/>
  <c r="E103"/>
  <c r="E102"/>
  <c r="E101"/>
  <c r="J100"/>
  <c r="G100" s="1"/>
  <c r="J99"/>
  <c r="J98"/>
  <c r="G98" s="1"/>
  <c r="J97"/>
  <c r="G97" s="1"/>
  <c r="J96"/>
  <c r="G96" s="1"/>
  <c r="J95"/>
  <c r="G95" s="1"/>
  <c r="J94"/>
  <c r="E94"/>
  <c r="J93"/>
  <c r="E93"/>
  <c r="J92"/>
  <c r="E92"/>
  <c r="J91"/>
  <c r="G91" s="1"/>
  <c r="E91"/>
  <c r="J90"/>
  <c r="G90" s="1"/>
  <c r="E90"/>
  <c r="J89"/>
  <c r="G89" s="1"/>
  <c r="E89"/>
  <c r="E88"/>
  <c r="E87"/>
  <c r="J86"/>
  <c r="G86"/>
  <c r="E86"/>
  <c r="J85"/>
  <c r="G85"/>
  <c r="E85"/>
  <c r="J84"/>
  <c r="G93" l="1"/>
  <c r="G92"/>
  <c r="G94"/>
  <c r="G99"/>
  <c r="G84"/>
  <c r="E84"/>
  <c r="J83"/>
  <c r="G83"/>
  <c r="E83"/>
  <c r="J82"/>
  <c r="G82"/>
  <c r="E82"/>
  <c r="J81"/>
  <c r="E81"/>
  <c r="J80"/>
  <c r="E80"/>
  <c r="J79"/>
  <c r="G79" s="1"/>
  <c r="E79"/>
  <c r="J78"/>
  <c r="G78" s="1"/>
  <c r="E78"/>
  <c r="J77"/>
  <c r="G77"/>
  <c r="E77"/>
  <c r="J76"/>
  <c r="G76" s="1"/>
  <c r="E76"/>
  <c r="J75"/>
  <c r="G75" s="1"/>
  <c r="E75"/>
  <c r="J74"/>
  <c r="E74"/>
  <c r="J73"/>
  <c r="E73"/>
  <c r="J72"/>
  <c r="E72"/>
  <c r="J71"/>
  <c r="G71" s="1"/>
  <c r="E71"/>
  <c r="J70"/>
  <c r="G70" s="1"/>
  <c r="E70"/>
  <c r="J69"/>
  <c r="G69" s="1"/>
  <c r="E69"/>
  <c r="J68"/>
  <c r="G68" s="1"/>
  <c r="E68"/>
  <c r="J67"/>
  <c r="G67" s="1"/>
  <c r="E67"/>
  <c r="J66"/>
  <c r="G66" s="1"/>
  <c r="E66"/>
  <c r="J65"/>
  <c r="G65" s="1"/>
  <c r="E65"/>
  <c r="J64"/>
  <c r="G64"/>
  <c r="E64"/>
  <c r="J63"/>
  <c r="G63"/>
  <c r="E63"/>
  <c r="J62"/>
  <c r="G62" s="1"/>
  <c r="E62"/>
  <c r="J61"/>
  <c r="G61" s="1"/>
  <c r="E61"/>
  <c r="J60"/>
  <c r="G60" s="1"/>
  <c r="E60"/>
  <c r="J59"/>
  <c r="G59"/>
  <c r="E59"/>
  <c r="J58"/>
  <c r="G58" s="1"/>
  <c r="E58"/>
  <c r="J57"/>
  <c r="E57"/>
  <c r="J56"/>
  <c r="E56"/>
  <c r="J55"/>
  <c r="E55"/>
  <c r="J54"/>
  <c r="G54" s="1"/>
  <c r="E54"/>
  <c r="J53"/>
  <c r="G53" s="1"/>
  <c r="E53"/>
  <c r="J52"/>
  <c r="G52" s="1"/>
  <c r="E52"/>
  <c r="J51"/>
  <c r="G51" s="1"/>
  <c r="E51"/>
  <c r="J50"/>
  <c r="G50" s="1"/>
  <c r="E50"/>
  <c r="J49"/>
  <c r="G49"/>
  <c r="E49"/>
  <c r="J48"/>
  <c r="G48" s="1"/>
  <c r="E48"/>
  <c r="J47"/>
  <c r="G47" s="1"/>
  <c r="E47"/>
  <c r="J46"/>
  <c r="G46" s="1"/>
  <c r="E46"/>
  <c r="J45"/>
  <c r="E45"/>
  <c r="J44"/>
  <c r="E44"/>
  <c r="J43"/>
  <c r="G43" s="1"/>
  <c r="E43"/>
  <c r="J42"/>
  <c r="G42" s="1"/>
  <c r="E42"/>
  <c r="J41"/>
  <c r="E41"/>
  <c r="J40"/>
  <c r="E40"/>
  <c r="J39"/>
  <c r="G39" s="1"/>
  <c r="E39"/>
  <c r="J38"/>
  <c r="G38" s="1"/>
  <c r="E38"/>
  <c r="J37"/>
  <c r="G37" s="1"/>
  <c r="E37"/>
  <c r="J36"/>
  <c r="E36"/>
  <c r="J35"/>
  <c r="G35"/>
  <c r="E35"/>
  <c r="J34"/>
  <c r="G34"/>
  <c r="E34"/>
  <c r="J33"/>
  <c r="E33"/>
  <c r="J32"/>
  <c r="E32"/>
  <c r="J31"/>
  <c r="G31" s="1"/>
  <c r="E31"/>
  <c r="J30"/>
  <c r="G30" s="1"/>
  <c r="E30"/>
  <c r="J29"/>
  <c r="E29"/>
  <c r="J28"/>
  <c r="G28" s="1"/>
  <c r="E28"/>
  <c r="J27"/>
  <c r="G27"/>
  <c r="E27"/>
  <c r="J26"/>
  <c r="G26" s="1"/>
  <c r="E26"/>
  <c r="J25"/>
  <c r="G25" s="1"/>
  <c r="E25"/>
  <c r="J24"/>
  <c r="G24" s="1"/>
  <c r="E24"/>
  <c r="J23"/>
  <c r="G23" s="1"/>
  <c r="E23"/>
  <c r="J22"/>
  <c r="E22"/>
  <c r="J21"/>
  <c r="E21"/>
  <c r="J20"/>
  <c r="G20" s="1"/>
  <c r="E20"/>
  <c r="J19"/>
  <c r="G19" s="1"/>
  <c r="E19"/>
  <c r="J18"/>
  <c r="G18" s="1"/>
  <c r="E18"/>
  <c r="J17"/>
  <c r="G17" s="1"/>
  <c r="E17"/>
  <c r="J16"/>
  <c r="G16" s="1"/>
  <c r="E16"/>
  <c r="J15"/>
  <c r="E15"/>
  <c r="J14"/>
  <c r="G14" s="1"/>
  <c r="E14"/>
  <c r="J13"/>
  <c r="E13"/>
  <c r="J12"/>
  <c r="G12" s="1"/>
  <c r="E12"/>
  <c r="J11"/>
  <c r="G11"/>
  <c r="E11"/>
  <c r="J10"/>
  <c r="G10"/>
  <c r="E10"/>
  <c r="J9"/>
  <c r="G80" l="1"/>
  <c r="G32"/>
  <c r="G36"/>
  <c r="G40"/>
  <c r="G13"/>
  <c r="G15"/>
  <c r="G21"/>
  <c r="G22"/>
  <c r="G55"/>
  <c r="G56"/>
  <c r="G57"/>
  <c r="G81"/>
  <c r="G29"/>
  <c r="G33"/>
  <c r="G41"/>
  <c r="G44"/>
  <c r="G45"/>
  <c r="G72"/>
  <c r="G73"/>
  <c r="G74"/>
  <c r="G9"/>
  <c r="E9"/>
  <c r="J8"/>
  <c r="G8" s="1"/>
  <c r="E8"/>
  <c r="J7"/>
  <c r="G7" s="1"/>
  <c r="E7"/>
  <c r="G87" l="1"/>
  <c r="J87" s="1"/>
  <c r="G102"/>
  <c r="J102" s="1"/>
  <c r="G88"/>
  <c r="J88" s="1"/>
  <c r="G101"/>
  <c r="J101" s="1"/>
</calcChain>
</file>

<file path=xl/comments1.xml><?xml version="1.0" encoding="utf-8"?>
<comments xmlns="http://schemas.openxmlformats.org/spreadsheetml/2006/main">
  <authors>
    <author>Mm반정선생</author>
  </authors>
  <commentList>
    <comment ref="H4" authorId="0">
      <text>
        <r>
          <rPr>
            <b/>
            <sz val="9"/>
            <color indexed="81"/>
            <rFont val="Tahoma"/>
            <family val="2"/>
          </rPr>
          <t>Mm</t>
        </r>
        <r>
          <rPr>
            <b/>
            <sz val="9"/>
            <color indexed="81"/>
            <rFont val="돋움"/>
            <family val="3"/>
            <charset val="129"/>
          </rPr>
          <t>반정선생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고려대 독창적 분모</t>
        </r>
      </text>
    </comment>
    <comment ref="AD7" authorId="0">
      <text>
        <r>
          <rPr>
            <b/>
            <sz val="9"/>
            <color indexed="81"/>
            <rFont val="Tahoma"/>
            <family val="2"/>
          </rPr>
          <t>Mm</t>
        </r>
        <r>
          <rPr>
            <b/>
            <sz val="9"/>
            <color indexed="81"/>
            <rFont val="돋움"/>
            <family val="3"/>
            <charset val="129"/>
          </rPr>
          <t>반정선생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 xml:space="preserve">문과 반영비율변화
</t>
        </r>
        <r>
          <rPr>
            <sz val="9"/>
            <color indexed="81"/>
            <rFont val="Tahoma"/>
            <family val="2"/>
          </rPr>
          <t>20:30:30:10
-&gt; 30:30:30:10</t>
        </r>
      </text>
    </comment>
    <comment ref="B8" authorId="0">
      <text>
        <r>
          <rPr>
            <b/>
            <sz val="9"/>
            <color indexed="81"/>
            <rFont val="Tahoma"/>
            <family val="2"/>
          </rPr>
          <t>Mm</t>
        </r>
        <r>
          <rPr>
            <b/>
            <sz val="9"/>
            <color indexed="81"/>
            <rFont val="돋움"/>
            <family val="3"/>
            <charset val="129"/>
          </rPr>
          <t>반정선생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인문,상경 다른 반영비율폐지
30:30:30:10로 통일</t>
        </r>
      </text>
    </comment>
    <comment ref="AD8" authorId="0">
      <text>
        <r>
          <rPr>
            <b/>
            <sz val="9"/>
            <color indexed="81"/>
            <rFont val="Tahoma"/>
            <family val="2"/>
          </rPr>
          <t>Mm</t>
        </r>
        <r>
          <rPr>
            <b/>
            <sz val="9"/>
            <color indexed="81"/>
            <rFont val="돋움"/>
            <family val="3"/>
            <charset val="129"/>
          </rPr>
          <t>반정선생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반영비율 30:30:30:10로
통일</t>
        </r>
      </text>
    </comment>
    <comment ref="C12" authorId="0">
      <text>
        <r>
          <rPr>
            <b/>
            <sz val="9"/>
            <color indexed="81"/>
            <rFont val="Tahoma"/>
            <family val="2"/>
          </rPr>
          <t>Mm</t>
        </r>
        <r>
          <rPr>
            <b/>
            <sz val="9"/>
            <color indexed="81"/>
            <rFont val="돋움"/>
            <family val="3"/>
            <charset val="129"/>
          </rPr>
          <t>반정선생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수능60%+학생부40%
-&gt;수능70%+학생부30%</t>
        </r>
      </text>
    </comment>
    <comment ref="X12" authorId="0">
      <text>
        <r>
          <rPr>
            <b/>
            <sz val="9"/>
            <color indexed="81"/>
            <rFont val="Tahoma"/>
            <family val="2"/>
          </rPr>
          <t>Mm</t>
        </r>
        <r>
          <rPr>
            <b/>
            <sz val="9"/>
            <color indexed="81"/>
            <rFont val="돋움"/>
            <family val="3"/>
            <charset val="129"/>
          </rPr>
          <t>반정선생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언수외표점200,과탐100
-&gt;언수외표점최고,
과탐 보정최고점으로..</t>
        </r>
      </text>
    </comment>
    <comment ref="AD12" authorId="0">
      <text>
        <r>
          <rPr>
            <b/>
            <sz val="9"/>
            <color indexed="81"/>
            <rFont val="Tahoma"/>
            <family val="2"/>
          </rPr>
          <t>Mm</t>
        </r>
        <r>
          <rPr>
            <b/>
            <sz val="9"/>
            <color indexed="81"/>
            <rFont val="돋움"/>
            <family val="3"/>
            <charset val="129"/>
          </rPr>
          <t>반정선생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20:30:30:20
-&gt;2/7:2/7:2/7:1/7</t>
        </r>
      </text>
    </comment>
    <comment ref="B14" authorId="0">
      <text>
        <r>
          <rPr>
            <b/>
            <sz val="9"/>
            <color indexed="81"/>
            <rFont val="Tahoma"/>
            <family val="2"/>
          </rPr>
          <t>Mm</t>
        </r>
        <r>
          <rPr>
            <b/>
            <sz val="9"/>
            <color indexed="81"/>
            <rFont val="돋움"/>
            <family val="3"/>
            <charset val="129"/>
          </rPr>
          <t>반정선생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신설</t>
        </r>
      </text>
    </comment>
    <comment ref="R19" authorId="0">
      <text>
        <r>
          <rPr>
            <b/>
            <sz val="9"/>
            <color indexed="81"/>
            <rFont val="Tahoma"/>
            <family val="2"/>
          </rPr>
          <t>Mm</t>
        </r>
        <r>
          <rPr>
            <b/>
            <sz val="9"/>
            <color indexed="81"/>
            <rFont val="돋움"/>
            <family val="3"/>
            <charset val="129"/>
          </rPr>
          <t>반정선생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문과대학지원시 가산점</t>
        </r>
      </text>
    </comment>
    <comment ref="AE19" authorId="0">
      <text>
        <r>
          <rPr>
            <b/>
            <sz val="9"/>
            <color indexed="81"/>
            <rFont val="Tahoma"/>
            <family val="2"/>
          </rPr>
          <t>Mm</t>
        </r>
        <r>
          <rPr>
            <b/>
            <sz val="9"/>
            <color indexed="81"/>
            <rFont val="돋움"/>
            <family val="3"/>
            <charset val="129"/>
          </rPr>
          <t>반정선생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수리20-&gt;25
탐구15-&gt;10</t>
        </r>
      </text>
    </comment>
    <comment ref="B21" authorId="0">
      <text>
        <r>
          <rPr>
            <b/>
            <sz val="9"/>
            <color indexed="81"/>
            <rFont val="Tahoma"/>
            <family val="2"/>
          </rPr>
          <t>Mm</t>
        </r>
        <r>
          <rPr>
            <b/>
            <sz val="9"/>
            <color indexed="81"/>
            <rFont val="돋움"/>
            <family val="3"/>
            <charset val="129"/>
          </rPr>
          <t>반정선생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컴공,가정교육</t>
        </r>
      </text>
    </comment>
    <comment ref="C22" authorId="0">
      <text>
        <r>
          <rPr>
            <b/>
            <sz val="9"/>
            <color indexed="81"/>
            <rFont val="Tahoma"/>
            <family val="2"/>
          </rPr>
          <t>Mm</t>
        </r>
        <r>
          <rPr>
            <b/>
            <sz val="9"/>
            <color indexed="81"/>
            <rFont val="돋움"/>
            <family val="3"/>
            <charset val="129"/>
          </rPr>
          <t>반정선생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수능</t>
        </r>
        <r>
          <rPr>
            <sz val="9"/>
            <color indexed="81"/>
            <rFont val="Tahoma"/>
            <family val="2"/>
          </rPr>
          <t>6</t>
        </r>
        <r>
          <rPr>
            <sz val="9"/>
            <color indexed="81"/>
            <rFont val="돋움"/>
            <family val="3"/>
            <charset val="129"/>
          </rPr>
          <t>0%+학생부40%(기본점수300)
-&gt;수능80+학생부20%(기본점수 X)</t>
        </r>
      </text>
    </comment>
    <comment ref="AD26" authorId="0">
      <text>
        <r>
          <rPr>
            <b/>
            <sz val="9"/>
            <color indexed="81"/>
            <rFont val="Tahoma"/>
            <family val="2"/>
          </rPr>
          <t>Mm</t>
        </r>
        <r>
          <rPr>
            <b/>
            <sz val="9"/>
            <color indexed="81"/>
            <rFont val="돋움"/>
            <family val="3"/>
            <charset val="129"/>
          </rPr>
          <t>반정선생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반영비율수정</t>
        </r>
      </text>
    </comment>
    <comment ref="B29" authorId="0">
      <text>
        <r>
          <rPr>
            <b/>
            <sz val="9"/>
            <color indexed="81"/>
            <rFont val="Tahoma"/>
            <family val="2"/>
          </rPr>
          <t>Mm</t>
        </r>
        <r>
          <rPr>
            <b/>
            <sz val="9"/>
            <color indexed="81"/>
            <rFont val="돋움"/>
            <family val="3"/>
            <charset val="129"/>
          </rPr>
          <t>반정선생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신설</t>
        </r>
      </text>
    </comment>
    <comment ref="R31" authorId="0">
      <text>
        <r>
          <rPr>
            <b/>
            <sz val="9"/>
            <color indexed="81"/>
            <rFont val="Tahoma"/>
            <family val="2"/>
          </rPr>
          <t>Mm</t>
        </r>
        <r>
          <rPr>
            <b/>
            <sz val="9"/>
            <color indexed="81"/>
            <rFont val="돋움"/>
            <family val="3"/>
            <charset val="129"/>
          </rPr>
          <t>반정선생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관련 학과에만 적용</t>
        </r>
      </text>
    </comment>
    <comment ref="AD31" authorId="0">
      <text>
        <r>
          <rPr>
            <b/>
            <sz val="9"/>
            <color indexed="81"/>
            <rFont val="Tahoma"/>
            <family val="2"/>
          </rPr>
          <t>Mm</t>
        </r>
        <r>
          <rPr>
            <b/>
            <sz val="9"/>
            <color indexed="81"/>
            <rFont val="돋움"/>
            <family val="3"/>
            <charset val="129"/>
          </rPr>
          <t>반정선생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반영비율32:10:38:20
-&gt;35:15:35:15</t>
        </r>
      </text>
    </comment>
    <comment ref="AD32" authorId="0">
      <text>
        <r>
          <rPr>
            <b/>
            <sz val="9"/>
            <color indexed="81"/>
            <rFont val="Tahoma"/>
            <family val="2"/>
          </rPr>
          <t>Mm</t>
        </r>
        <r>
          <rPr>
            <b/>
            <sz val="9"/>
            <color indexed="81"/>
            <rFont val="돋움"/>
            <family val="3"/>
            <charset val="129"/>
          </rPr>
          <t>반정선생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경영,자연,공대,IT일부
10:32:38:20
10:38:32:20
-&gt;15:35:35:15</t>
        </r>
      </text>
    </comment>
    <comment ref="B33" authorId="0">
      <text>
        <r>
          <rPr>
            <b/>
            <sz val="9"/>
            <color indexed="81"/>
            <rFont val="Tahoma"/>
            <family val="2"/>
          </rPr>
          <t>Mm</t>
        </r>
        <r>
          <rPr>
            <b/>
            <sz val="9"/>
            <color indexed="81"/>
            <rFont val="돋움"/>
            <family val="3"/>
            <charset val="129"/>
          </rPr>
          <t>반정선생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자연과학대</t>
        </r>
        <r>
          <rPr>
            <sz val="9"/>
            <color indexed="81"/>
            <rFont val="Tahoma"/>
            <family val="2"/>
          </rPr>
          <t>(</t>
        </r>
        <r>
          <rPr>
            <sz val="9"/>
            <color indexed="81"/>
            <rFont val="돋움"/>
            <family val="3"/>
            <charset val="129"/>
          </rPr>
          <t>정보통계</t>
        </r>
        <r>
          <rPr>
            <sz val="9"/>
            <color indexed="81"/>
            <rFont val="Tahoma"/>
            <family val="2"/>
          </rPr>
          <t>․</t>
        </r>
        <r>
          <rPr>
            <sz val="9"/>
            <color indexed="81"/>
            <rFont val="돋움"/>
            <family val="3"/>
            <charset val="129"/>
          </rPr>
          <t>보험수리</t>
        </r>
        <r>
          <rPr>
            <sz val="9"/>
            <color indexed="81"/>
            <rFont val="Tahoma"/>
            <family val="2"/>
          </rPr>
          <t>),</t>
        </r>
        <r>
          <rPr>
            <sz val="9"/>
            <color indexed="81"/>
            <rFont val="돋움"/>
            <family val="3"/>
            <charset val="129"/>
          </rPr>
          <t>공과대</t>
        </r>
        <r>
          <rPr>
            <sz val="9"/>
            <color indexed="81"/>
            <rFont val="Tahoma"/>
            <family val="2"/>
          </rPr>
          <t>(</t>
        </r>
        <r>
          <rPr>
            <sz val="9"/>
            <color indexed="81"/>
            <rFont val="돋움"/>
            <family val="3"/>
            <charset val="129"/>
          </rPr>
          <t>산업정보</t>
        </r>
        <r>
          <rPr>
            <sz val="9"/>
            <color indexed="81"/>
            <rFont val="Tahoma"/>
            <family val="2"/>
          </rPr>
          <t xml:space="preserve">, </t>
        </r>
        <r>
          <rPr>
            <sz val="9"/>
            <color indexed="81"/>
            <rFont val="돋움"/>
            <family val="3"/>
            <charset val="129"/>
          </rPr>
          <t>건축</t>
        </r>
        <r>
          <rPr>
            <sz val="9"/>
            <color indexed="81"/>
            <rFont val="Tahoma"/>
            <family val="2"/>
          </rPr>
          <t>),IT</t>
        </r>
        <r>
          <rPr>
            <sz val="9"/>
            <color indexed="81"/>
            <rFont val="돋움"/>
            <family val="3"/>
            <charset val="129"/>
          </rPr>
          <t>대</t>
        </r>
        <r>
          <rPr>
            <sz val="9"/>
            <color indexed="81"/>
            <rFont val="Tahoma"/>
            <family val="2"/>
          </rPr>
          <t>(</t>
        </r>
        <r>
          <rPr>
            <sz val="9"/>
            <color indexed="81"/>
            <rFont val="돋움"/>
            <family val="3"/>
            <charset val="129"/>
          </rPr>
          <t>컴퓨터</t>
        </r>
        <r>
          <rPr>
            <sz val="9"/>
            <color indexed="81"/>
            <rFont val="Tahoma"/>
            <family val="2"/>
          </rPr>
          <t xml:space="preserve">, </t>
        </r>
        <r>
          <rPr>
            <sz val="9"/>
            <color indexed="81"/>
            <rFont val="돋움"/>
            <family val="3"/>
            <charset val="129"/>
          </rPr>
          <t>글로벌미디어</t>
        </r>
        <r>
          <rPr>
            <sz val="9"/>
            <color indexed="81"/>
            <rFont val="Tahoma"/>
            <family val="2"/>
          </rPr>
          <t>)</t>
        </r>
      </text>
    </comment>
    <comment ref="C38" authorId="0">
      <text>
        <r>
          <rPr>
            <b/>
            <sz val="9"/>
            <color indexed="81"/>
            <rFont val="Tahoma"/>
            <family val="2"/>
          </rPr>
          <t>Mm</t>
        </r>
        <r>
          <rPr>
            <b/>
            <sz val="9"/>
            <color indexed="81"/>
            <rFont val="돋움"/>
            <family val="3"/>
            <charset val="129"/>
          </rPr>
          <t>반정선생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가군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수능100%
-&gt;우선/일반
다군 수능100%</t>
        </r>
      </text>
    </comment>
    <comment ref="X38" authorId="0">
      <text>
        <r>
          <rPr>
            <b/>
            <sz val="9"/>
            <color indexed="81"/>
            <rFont val="Tahoma"/>
            <family val="2"/>
          </rPr>
          <t>Mm</t>
        </r>
        <r>
          <rPr>
            <b/>
            <sz val="9"/>
            <color indexed="81"/>
            <rFont val="돋움"/>
            <family val="3"/>
            <charset val="129"/>
          </rPr>
          <t>반정선생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표점200만점
-&gt;표점최고점사용</t>
        </r>
      </text>
    </comment>
    <comment ref="AD38" authorId="0">
      <text>
        <r>
          <rPr>
            <b/>
            <sz val="9"/>
            <color indexed="81"/>
            <rFont val="Tahoma"/>
            <family val="2"/>
          </rPr>
          <t>Mm</t>
        </r>
        <r>
          <rPr>
            <b/>
            <sz val="9"/>
            <color indexed="81"/>
            <rFont val="돋움"/>
            <family val="3"/>
            <charset val="129"/>
          </rPr>
          <t>반정선생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좋은과목순 반영
-&gt;고정반영비율사용</t>
        </r>
      </text>
    </comment>
    <comment ref="AD42" authorId="0">
      <text>
        <r>
          <rPr>
            <b/>
            <sz val="9"/>
            <color indexed="81"/>
            <rFont val="Tahoma"/>
            <family val="2"/>
          </rPr>
          <t>Mm</t>
        </r>
        <r>
          <rPr>
            <b/>
            <sz val="9"/>
            <color indexed="81"/>
            <rFont val="돋움"/>
            <family val="3"/>
            <charset val="129"/>
          </rPr>
          <t>반정선생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언외탐1/3에서
33:17:33:17로..</t>
        </r>
      </text>
    </comment>
    <comment ref="AD43" authorId="0">
      <text>
        <r>
          <rPr>
            <b/>
            <sz val="9"/>
            <color indexed="81"/>
            <rFont val="Tahoma"/>
            <family val="2"/>
          </rPr>
          <t>Mm</t>
        </r>
        <r>
          <rPr>
            <b/>
            <sz val="9"/>
            <color indexed="81"/>
            <rFont val="돋움"/>
            <family val="3"/>
            <charset val="129"/>
          </rPr>
          <t>반정선생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수외탐1/3에서
17:33:33:17로..</t>
        </r>
      </text>
    </comment>
    <comment ref="M44" authorId="0">
      <text>
        <r>
          <rPr>
            <b/>
            <sz val="9"/>
            <color indexed="81"/>
            <rFont val="Tahoma"/>
            <family val="2"/>
          </rPr>
          <t>Mm</t>
        </r>
        <r>
          <rPr>
            <b/>
            <sz val="9"/>
            <color indexed="81"/>
            <rFont val="돋움"/>
            <family val="3"/>
            <charset val="129"/>
          </rPr>
          <t>반정선생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탐구2-&gt;1개반영</t>
        </r>
      </text>
    </comment>
    <comment ref="B46" authorId="0">
      <text>
        <r>
          <rPr>
            <b/>
            <sz val="9"/>
            <color indexed="81"/>
            <rFont val="Tahoma"/>
            <family val="2"/>
          </rPr>
          <t>Mm</t>
        </r>
        <r>
          <rPr>
            <b/>
            <sz val="9"/>
            <color indexed="81"/>
            <rFont val="돋움"/>
            <family val="3"/>
            <charset val="129"/>
          </rPr>
          <t>반정선생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신설</t>
        </r>
      </text>
    </comment>
    <comment ref="C48" authorId="0">
      <text>
        <r>
          <rPr>
            <b/>
            <sz val="9"/>
            <color indexed="81"/>
            <rFont val="Tahoma"/>
            <family val="2"/>
          </rPr>
          <t>Mm</t>
        </r>
        <r>
          <rPr>
            <b/>
            <sz val="9"/>
            <color indexed="81"/>
            <rFont val="돋움"/>
            <family val="3"/>
            <charset val="129"/>
          </rPr>
          <t>반정선생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수능총점600-&gt;900</t>
        </r>
      </text>
    </comment>
    <comment ref="G48" authorId="0">
      <text>
        <r>
          <rPr>
            <b/>
            <sz val="9"/>
            <color indexed="81"/>
            <rFont val="Tahoma"/>
            <family val="2"/>
          </rPr>
          <t>Mm</t>
        </r>
        <r>
          <rPr>
            <b/>
            <sz val="9"/>
            <color indexed="81"/>
            <rFont val="돋움"/>
            <family val="3"/>
            <charset val="129"/>
          </rPr>
          <t>반정선생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사탐+3%
-&gt;사탐+5%</t>
        </r>
      </text>
    </comment>
    <comment ref="M48" authorId="0">
      <text>
        <r>
          <rPr>
            <b/>
            <sz val="9"/>
            <color indexed="81"/>
            <rFont val="Tahoma"/>
            <family val="2"/>
          </rPr>
          <t>Mm</t>
        </r>
        <r>
          <rPr>
            <b/>
            <sz val="9"/>
            <color indexed="81"/>
            <rFont val="돋움"/>
            <family val="3"/>
            <charset val="129"/>
          </rPr>
          <t>반정선생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탐구1과목-&gt;탐구2과목</t>
        </r>
      </text>
    </comment>
    <comment ref="AD48" authorId="0">
      <text>
        <r>
          <rPr>
            <b/>
            <sz val="9"/>
            <color indexed="81"/>
            <rFont val="Tahoma"/>
            <family val="2"/>
          </rPr>
          <t>Mm</t>
        </r>
        <r>
          <rPr>
            <b/>
            <sz val="9"/>
            <color indexed="81"/>
            <rFont val="돋움"/>
            <family val="3"/>
            <charset val="129"/>
          </rPr>
          <t>반정선생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인문반영비율 
언40:외30:탐30
-&gt;언30:외50:탐20</t>
        </r>
      </text>
    </comment>
    <comment ref="D49" authorId="0">
      <text>
        <r>
          <rPr>
            <b/>
            <sz val="9"/>
            <color indexed="81"/>
            <rFont val="Tahoma"/>
            <family val="2"/>
          </rPr>
          <t>Mm</t>
        </r>
        <r>
          <rPr>
            <b/>
            <sz val="9"/>
            <color indexed="81"/>
            <rFont val="돋움"/>
            <family val="3"/>
            <charset val="129"/>
          </rPr>
          <t>반정선생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언</t>
        </r>
        <r>
          <rPr>
            <sz val="9"/>
            <color indexed="81"/>
            <rFont val="Tahoma"/>
            <family val="2"/>
          </rPr>
          <t>/</t>
        </r>
        <r>
          <rPr>
            <sz val="9"/>
            <color indexed="81"/>
            <rFont val="돋움"/>
            <family val="3"/>
            <charset val="129"/>
          </rPr>
          <t>수중 택1</t>
        </r>
      </text>
    </comment>
    <comment ref="AD49" authorId="0">
      <text>
        <r>
          <rPr>
            <b/>
            <sz val="9"/>
            <color indexed="81"/>
            <rFont val="Tahoma"/>
            <family val="2"/>
          </rPr>
          <t>Mm</t>
        </r>
        <r>
          <rPr>
            <b/>
            <sz val="9"/>
            <color indexed="81"/>
            <rFont val="돋움"/>
            <family val="3"/>
            <charset val="129"/>
          </rPr>
          <t>반정선생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사과반영비율 
언30:외40:탐30
-&gt;언/수30:외50:탐20</t>
        </r>
      </text>
    </comment>
    <comment ref="G50" authorId="0">
      <text>
        <r>
          <rPr>
            <b/>
            <sz val="9"/>
            <color indexed="81"/>
            <rFont val="Tahoma"/>
            <family val="2"/>
          </rPr>
          <t>Mm</t>
        </r>
        <r>
          <rPr>
            <b/>
            <sz val="9"/>
            <color indexed="81"/>
            <rFont val="돋움"/>
            <family val="3"/>
            <charset val="129"/>
          </rPr>
          <t>반정선생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공대사탐+3%
-&gt;0점</t>
        </r>
      </text>
    </comment>
    <comment ref="B52" authorId="0">
      <text>
        <r>
          <rPr>
            <b/>
            <sz val="9"/>
            <color indexed="81"/>
            <rFont val="Tahoma"/>
            <family val="2"/>
          </rPr>
          <t>Mm</t>
        </r>
        <r>
          <rPr>
            <b/>
            <sz val="9"/>
            <color indexed="81"/>
            <rFont val="돋움"/>
            <family val="3"/>
            <charset val="129"/>
          </rPr>
          <t>반정선생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경영학과</t>
        </r>
        <r>
          <rPr>
            <sz val="9"/>
            <color indexed="81"/>
            <rFont val="Tahoma"/>
            <family val="2"/>
          </rPr>
          <t>,</t>
        </r>
        <r>
          <rPr>
            <sz val="9"/>
            <color indexed="81"/>
            <rFont val="돋움"/>
            <family val="3"/>
            <charset val="129"/>
          </rPr>
          <t>경영정보학과</t>
        </r>
        <r>
          <rPr>
            <sz val="9"/>
            <color indexed="81"/>
            <rFont val="Tahoma"/>
            <family val="2"/>
          </rPr>
          <t>,</t>
        </r>
        <r>
          <rPr>
            <sz val="9"/>
            <color indexed="81"/>
            <rFont val="돋움"/>
            <family val="3"/>
            <charset val="129"/>
          </rPr>
          <t>사회복지학부</t>
        </r>
        <r>
          <rPr>
            <sz val="9"/>
            <color indexed="81"/>
            <rFont val="Tahoma"/>
            <family val="2"/>
          </rPr>
          <t>(</t>
        </r>
        <r>
          <rPr>
            <sz val="9"/>
            <color indexed="81"/>
            <rFont val="돋움"/>
            <family val="3"/>
            <charset val="129"/>
          </rPr>
          <t>사회복지
전공</t>
        </r>
        <r>
          <rPr>
            <sz val="9"/>
            <color indexed="81"/>
            <rFont val="Tahoma"/>
            <family val="2"/>
          </rPr>
          <t xml:space="preserve">, </t>
        </r>
        <r>
          <rPr>
            <sz val="9"/>
            <color indexed="81"/>
            <rFont val="돋움"/>
            <family val="3"/>
            <charset val="129"/>
          </rPr>
          <t>보건관리전공</t>
        </r>
        <r>
          <rPr>
            <sz val="9"/>
            <color indexed="81"/>
            <rFont val="Tahoma"/>
            <family val="2"/>
          </rPr>
          <t>),</t>
        </r>
        <r>
          <rPr>
            <sz val="9"/>
            <color indexed="81"/>
            <rFont val="돋움"/>
            <family val="3"/>
            <charset val="129"/>
          </rPr>
          <t>상담심리학과</t>
        </r>
      </text>
    </comment>
    <comment ref="C56" authorId="0">
      <text>
        <r>
          <rPr>
            <b/>
            <sz val="9"/>
            <color indexed="81"/>
            <rFont val="Tahoma"/>
            <family val="2"/>
          </rPr>
          <t>Mm</t>
        </r>
        <r>
          <rPr>
            <b/>
            <sz val="9"/>
            <color indexed="81"/>
            <rFont val="돋움"/>
            <family val="3"/>
            <charset val="129"/>
          </rPr>
          <t>반정선생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반영총점 600-&gt;800</t>
        </r>
      </text>
    </comment>
    <comment ref="B59" authorId="0">
      <text>
        <r>
          <rPr>
            <b/>
            <sz val="9"/>
            <color indexed="81"/>
            <rFont val="Tahoma"/>
            <family val="2"/>
          </rPr>
          <t>Mm</t>
        </r>
        <r>
          <rPr>
            <b/>
            <sz val="9"/>
            <color indexed="81"/>
            <rFont val="돋움"/>
            <family val="3"/>
            <charset val="129"/>
          </rPr>
          <t>반정선생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영어영문학과</t>
        </r>
        <r>
          <rPr>
            <sz val="9"/>
            <color indexed="81"/>
            <rFont val="Tahoma"/>
            <family val="2"/>
          </rPr>
          <t>,</t>
        </r>
        <r>
          <rPr>
            <sz val="9"/>
            <color indexed="81"/>
            <rFont val="돋움"/>
            <family val="3"/>
            <charset val="129"/>
          </rPr>
          <t>행정학과</t>
        </r>
        <r>
          <rPr>
            <sz val="9"/>
            <color indexed="81"/>
            <rFont val="Tahoma"/>
            <family val="2"/>
          </rPr>
          <t>,</t>
        </r>
        <r>
          <rPr>
            <sz val="9"/>
            <color indexed="81"/>
            <rFont val="돋움"/>
            <family val="3"/>
            <charset val="129"/>
          </rPr>
          <t>산업심리학과</t>
        </r>
        <r>
          <rPr>
            <sz val="9"/>
            <color indexed="81"/>
            <rFont val="Tahoma"/>
            <family val="2"/>
          </rPr>
          <t>,</t>
        </r>
        <r>
          <rPr>
            <sz val="9"/>
            <color indexed="81"/>
            <rFont val="돋움"/>
            <family val="3"/>
            <charset val="129"/>
          </rPr>
          <t>미디어영상학부</t>
        </r>
        <r>
          <rPr>
            <sz val="9"/>
            <color indexed="81"/>
            <rFont val="Tahoma"/>
            <family val="2"/>
          </rPr>
          <t>,</t>
        </r>
        <r>
          <rPr>
            <sz val="9"/>
            <color indexed="81"/>
            <rFont val="돋움"/>
            <family val="3"/>
            <charset val="129"/>
          </rPr>
          <t>동북아통상학부</t>
        </r>
        <r>
          <rPr>
            <sz val="9"/>
            <color indexed="81"/>
            <rFont val="Tahoma"/>
            <family val="2"/>
          </rPr>
          <t>,</t>
        </r>
        <r>
          <rPr>
            <sz val="9"/>
            <color indexed="81"/>
            <rFont val="돋움"/>
            <family val="3"/>
            <charset val="129"/>
          </rPr>
          <t>동북아문화산업학부</t>
        </r>
        <r>
          <rPr>
            <sz val="9"/>
            <color indexed="81"/>
            <rFont val="Tahoma"/>
            <family val="2"/>
          </rPr>
          <t>,</t>
        </r>
        <r>
          <rPr>
            <sz val="9"/>
            <color indexed="81"/>
            <rFont val="돋움"/>
            <family val="3"/>
            <charset val="129"/>
          </rPr>
          <t>국제협력학부</t>
        </r>
      </text>
    </comment>
    <comment ref="C61" authorId="0">
      <text>
        <r>
          <rPr>
            <b/>
            <sz val="9"/>
            <color indexed="81"/>
            <rFont val="Tahoma"/>
            <family val="2"/>
          </rPr>
          <t>Mm</t>
        </r>
        <r>
          <rPr>
            <b/>
            <sz val="9"/>
            <color indexed="81"/>
            <rFont val="돋움"/>
            <family val="3"/>
            <charset val="129"/>
          </rPr>
          <t>반정선생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수능총점700-&gt;900</t>
        </r>
      </text>
    </comment>
    <comment ref="R66" authorId="0">
      <text>
        <r>
          <rPr>
            <b/>
            <sz val="9"/>
            <color indexed="81"/>
            <rFont val="Tahoma"/>
            <family val="2"/>
          </rPr>
          <t>Mm</t>
        </r>
        <r>
          <rPr>
            <b/>
            <sz val="9"/>
            <color indexed="81"/>
            <rFont val="돋움"/>
            <family val="3"/>
            <charset val="129"/>
          </rPr>
          <t>반정선생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국어국문학과</t>
        </r>
        <r>
          <rPr>
            <sz val="9"/>
            <color indexed="81"/>
            <rFont val="Tahoma"/>
            <family val="2"/>
          </rPr>
          <t xml:space="preserve">, </t>
        </r>
        <r>
          <rPr>
            <sz val="9"/>
            <color indexed="81"/>
            <rFont val="돋움"/>
            <family val="3"/>
            <charset val="129"/>
          </rPr>
          <t>한문교육과</t>
        </r>
        <r>
          <rPr>
            <sz val="9"/>
            <color indexed="81"/>
            <rFont val="Tahoma"/>
            <family val="2"/>
          </rPr>
          <t>-&gt;</t>
        </r>
        <r>
          <rPr>
            <sz val="9"/>
            <color indexed="81"/>
            <rFont val="돋움"/>
            <family val="3"/>
            <charset val="129"/>
          </rPr>
          <t>한문
독어독문학과</t>
        </r>
        <r>
          <rPr>
            <sz val="9"/>
            <color indexed="81"/>
            <rFont val="Tahoma"/>
            <family val="2"/>
          </rPr>
          <t>,</t>
        </r>
        <r>
          <rPr>
            <sz val="9"/>
            <color indexed="81"/>
            <rFont val="돋움"/>
            <family val="3"/>
            <charset val="129"/>
          </rPr>
          <t>불어불문학과</t>
        </r>
        <r>
          <rPr>
            <sz val="9"/>
            <color indexed="81"/>
            <rFont val="Tahoma"/>
            <family val="2"/>
          </rPr>
          <t>,</t>
        </r>
        <r>
          <rPr>
            <sz val="9"/>
            <color indexed="81"/>
            <rFont val="돋움"/>
            <family val="3"/>
            <charset val="129"/>
          </rPr>
          <t>일어일문학과</t>
        </r>
        <r>
          <rPr>
            <sz val="9"/>
            <color indexed="81"/>
            <rFont val="Tahoma"/>
            <family val="2"/>
          </rPr>
          <t>,</t>
        </r>
        <r>
          <rPr>
            <sz val="9"/>
            <color indexed="81"/>
            <rFont val="돋움"/>
            <family val="3"/>
            <charset val="129"/>
          </rPr>
          <t>중어중문학과</t>
        </r>
        <r>
          <rPr>
            <sz val="9"/>
            <color indexed="81"/>
            <rFont val="Tahoma"/>
            <family val="2"/>
          </rPr>
          <t>-&gt;</t>
        </r>
        <r>
          <rPr>
            <sz val="9"/>
            <color indexed="81"/>
            <rFont val="돋움"/>
            <family val="3"/>
            <charset val="129"/>
          </rPr>
          <t>제</t>
        </r>
        <r>
          <rPr>
            <sz val="9"/>
            <color indexed="81"/>
            <rFont val="Tahoma"/>
            <family val="2"/>
          </rPr>
          <t>2</t>
        </r>
        <r>
          <rPr>
            <sz val="9"/>
            <color indexed="81"/>
            <rFont val="돋움"/>
            <family val="3"/>
            <charset val="129"/>
          </rPr>
          <t xml:space="preserve">외전과목
</t>
        </r>
      </text>
    </comment>
    <comment ref="B67" authorId="0">
      <text>
        <r>
          <rPr>
            <b/>
            <sz val="9"/>
            <color indexed="81"/>
            <rFont val="Tahoma"/>
            <family val="2"/>
          </rPr>
          <t>Mm</t>
        </r>
        <r>
          <rPr>
            <b/>
            <sz val="9"/>
            <color indexed="81"/>
            <rFont val="돋움"/>
            <family val="3"/>
            <charset val="129"/>
          </rPr>
          <t>반정선생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경제학과</t>
        </r>
        <r>
          <rPr>
            <sz val="9"/>
            <color indexed="81"/>
            <rFont val="Tahoma"/>
            <family val="2"/>
          </rPr>
          <t>,</t>
        </r>
        <r>
          <rPr>
            <sz val="9"/>
            <color indexed="81"/>
            <rFont val="돋움"/>
            <family val="3"/>
            <charset val="129"/>
          </rPr>
          <t>수학과</t>
        </r>
        <r>
          <rPr>
            <sz val="9"/>
            <color indexed="81"/>
            <rFont val="Tahoma"/>
            <family val="2"/>
          </rPr>
          <t>,</t>
        </r>
        <r>
          <rPr>
            <sz val="9"/>
            <color indexed="81"/>
            <rFont val="돋움"/>
            <family val="3"/>
            <charset val="129"/>
          </rPr>
          <t>통계학과</t>
        </r>
        <r>
          <rPr>
            <sz val="9"/>
            <color indexed="81"/>
            <rFont val="Tahoma"/>
            <family val="2"/>
          </rPr>
          <t>,</t>
        </r>
        <r>
          <rPr>
            <sz val="9"/>
            <color indexed="81"/>
            <rFont val="돋움"/>
            <family val="3"/>
            <charset val="129"/>
          </rPr>
          <t>생명과학</t>
        </r>
        <r>
          <rPr>
            <sz val="9"/>
            <color indexed="81"/>
            <rFont val="Tahoma"/>
            <family val="2"/>
          </rPr>
          <t>·</t>
        </r>
        <r>
          <rPr>
            <sz val="9"/>
            <color indexed="81"/>
            <rFont val="돋움"/>
            <family val="3"/>
            <charset val="129"/>
          </rPr>
          <t>화학부</t>
        </r>
        <r>
          <rPr>
            <sz val="9"/>
            <color indexed="81"/>
            <rFont val="Tahoma"/>
            <family val="2"/>
          </rPr>
          <t>,IT</t>
        </r>
        <r>
          <rPr>
            <sz val="9"/>
            <color indexed="81"/>
            <rFont val="돋움"/>
            <family val="3"/>
            <charset val="129"/>
          </rPr>
          <t>학부</t>
        </r>
        <r>
          <rPr>
            <sz val="9"/>
            <color indexed="81"/>
            <rFont val="Tahoma"/>
            <family val="2"/>
          </rPr>
          <t>,</t>
        </r>
        <r>
          <rPr>
            <sz val="9"/>
            <color indexed="81"/>
            <rFont val="돋움"/>
            <family val="3"/>
            <charset val="129"/>
          </rPr>
          <t>의류학과</t>
        </r>
        <r>
          <rPr>
            <sz val="9"/>
            <color indexed="81"/>
            <rFont val="Tahoma"/>
            <family val="2"/>
          </rPr>
          <t>,</t>
        </r>
        <r>
          <rPr>
            <sz val="9"/>
            <color indexed="81"/>
            <rFont val="돋움"/>
            <family val="3"/>
            <charset val="129"/>
          </rPr>
          <t>식품영양학과</t>
        </r>
        <r>
          <rPr>
            <sz val="9"/>
            <color indexed="81"/>
            <rFont val="Tahoma"/>
            <family val="2"/>
          </rPr>
          <t>,</t>
        </r>
        <r>
          <rPr>
            <sz val="9"/>
            <color indexed="81"/>
            <rFont val="돋움"/>
            <family val="3"/>
            <charset val="129"/>
          </rPr>
          <t>자율전공학부</t>
        </r>
        <r>
          <rPr>
            <sz val="9"/>
            <color indexed="81"/>
            <rFont val="Tahoma"/>
            <family val="2"/>
          </rPr>
          <t>(</t>
        </r>
        <r>
          <rPr>
            <sz val="9"/>
            <color indexed="81"/>
            <rFont val="돋움"/>
            <family val="3"/>
            <charset val="129"/>
          </rPr>
          <t>자연계열</t>
        </r>
        <r>
          <rPr>
            <sz val="9"/>
            <color indexed="81"/>
            <rFont val="Tahoma"/>
            <family val="2"/>
          </rPr>
          <t>)</t>
        </r>
      </text>
    </comment>
    <comment ref="B72" authorId="0">
      <text>
        <r>
          <rPr>
            <b/>
            <sz val="9"/>
            <color indexed="81"/>
            <rFont val="Tahoma"/>
            <family val="2"/>
          </rPr>
          <t>Mm</t>
        </r>
        <r>
          <rPr>
            <b/>
            <sz val="9"/>
            <color indexed="81"/>
            <rFont val="돋움"/>
            <family val="3"/>
            <charset val="129"/>
          </rPr>
          <t>반정선생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문헌정보학과</t>
        </r>
        <r>
          <rPr>
            <sz val="9"/>
            <color indexed="81"/>
            <rFont val="Tahoma"/>
            <family val="2"/>
          </rPr>
          <t xml:space="preserve">, </t>
        </r>
        <r>
          <rPr>
            <sz val="9"/>
            <color indexed="81"/>
            <rFont val="돋움"/>
            <family val="3"/>
            <charset val="129"/>
          </rPr>
          <t>사회복지학과</t>
        </r>
        <r>
          <rPr>
            <sz val="9"/>
            <color indexed="81"/>
            <rFont val="Tahoma"/>
            <family val="2"/>
          </rPr>
          <t>,</t>
        </r>
        <r>
          <rPr>
            <sz val="9"/>
            <color indexed="81"/>
            <rFont val="돋움"/>
            <family val="3"/>
            <charset val="129"/>
          </rPr>
          <t>아동학과</t>
        </r>
        <r>
          <rPr>
            <sz val="9"/>
            <color indexed="81"/>
            <rFont val="Tahoma"/>
            <family val="2"/>
          </rPr>
          <t xml:space="preserve">, </t>
        </r>
        <r>
          <rPr>
            <sz val="9"/>
            <color indexed="81"/>
            <rFont val="돋움"/>
            <family val="3"/>
            <charset val="129"/>
          </rPr>
          <t>행정학과</t>
        </r>
        <r>
          <rPr>
            <sz val="9"/>
            <color indexed="81"/>
            <rFont val="Tahoma"/>
            <family val="2"/>
          </rPr>
          <t xml:space="preserve">, </t>
        </r>
        <r>
          <rPr>
            <sz val="9"/>
            <color indexed="81"/>
            <rFont val="돋움"/>
            <family val="3"/>
            <charset val="129"/>
          </rPr>
          <t>언론영상학부</t>
        </r>
        <r>
          <rPr>
            <sz val="9"/>
            <color indexed="81"/>
            <rFont val="Tahoma"/>
            <family val="2"/>
          </rPr>
          <t xml:space="preserve">, </t>
        </r>
        <r>
          <rPr>
            <sz val="9"/>
            <color indexed="81"/>
            <rFont val="돋움"/>
            <family val="3"/>
            <charset val="129"/>
          </rPr>
          <t>자율전공학부</t>
        </r>
        <r>
          <rPr>
            <sz val="9"/>
            <color indexed="81"/>
            <rFont val="Tahoma"/>
            <family val="2"/>
          </rPr>
          <t>(</t>
        </r>
        <r>
          <rPr>
            <sz val="9"/>
            <color indexed="81"/>
            <rFont val="돋움"/>
            <family val="3"/>
            <charset val="129"/>
          </rPr>
          <t>인문사회계열</t>
        </r>
        <r>
          <rPr>
            <sz val="9"/>
            <color indexed="81"/>
            <rFont val="Tahoma"/>
            <family val="2"/>
          </rPr>
          <t>),</t>
        </r>
        <r>
          <rPr>
            <sz val="9"/>
            <color indexed="81"/>
            <rFont val="돋움"/>
            <family val="3"/>
            <charset val="129"/>
          </rPr>
          <t>멀티미디어학과</t>
        </r>
        <r>
          <rPr>
            <sz val="9"/>
            <color indexed="81"/>
            <rFont val="Tahoma"/>
            <family val="2"/>
          </rPr>
          <t xml:space="preserve">, </t>
        </r>
        <r>
          <rPr>
            <sz val="9"/>
            <color indexed="81"/>
            <rFont val="돋움"/>
            <family val="3"/>
            <charset val="129"/>
          </rPr>
          <t xml:space="preserve">콘텐츠디자인학과
</t>
        </r>
      </text>
    </comment>
    <comment ref="AD72" authorId="0">
      <text>
        <r>
          <rPr>
            <b/>
            <sz val="9"/>
            <color indexed="81"/>
            <rFont val="Tahoma"/>
            <family val="2"/>
          </rPr>
          <t>Mm</t>
        </r>
        <r>
          <rPr>
            <b/>
            <sz val="9"/>
            <color indexed="81"/>
            <rFont val="돋움"/>
            <family val="3"/>
            <charset val="129"/>
          </rPr>
          <t>반정선생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반영비율변경
언외탐-&gt;언외+수/탐택1
각1/3-&gt;35:35 +30</t>
        </r>
      </text>
    </comment>
    <comment ref="B73" authorId="0">
      <text>
        <r>
          <rPr>
            <b/>
            <sz val="9"/>
            <color indexed="81"/>
            <rFont val="Tahoma"/>
            <family val="2"/>
          </rPr>
          <t>Mm</t>
        </r>
        <r>
          <rPr>
            <b/>
            <sz val="9"/>
            <color indexed="81"/>
            <rFont val="돋움"/>
            <family val="3"/>
            <charset val="129"/>
          </rPr>
          <t>반정선생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경제학과</t>
        </r>
        <r>
          <rPr>
            <sz val="9"/>
            <color indexed="81"/>
            <rFont val="Tahoma"/>
            <family val="2"/>
          </rPr>
          <t xml:space="preserve">, </t>
        </r>
        <r>
          <rPr>
            <sz val="9"/>
            <color indexed="81"/>
            <rFont val="돋움"/>
            <family val="3"/>
            <charset val="129"/>
          </rPr>
          <t>경영학과</t>
        </r>
        <r>
          <rPr>
            <sz val="9"/>
            <color indexed="81"/>
            <rFont val="Tahoma"/>
            <family val="2"/>
          </rPr>
          <t xml:space="preserve">, </t>
        </r>
        <r>
          <rPr>
            <sz val="9"/>
            <color indexed="81"/>
            <rFont val="돋움"/>
            <family val="3"/>
            <charset val="129"/>
          </rPr>
          <t>자율전공학부</t>
        </r>
        <r>
          <rPr>
            <sz val="9"/>
            <color indexed="81"/>
            <rFont val="Tahoma"/>
            <family val="2"/>
          </rPr>
          <t>(</t>
        </r>
        <r>
          <rPr>
            <sz val="9"/>
            <color indexed="81"/>
            <rFont val="돋움"/>
            <family val="3"/>
            <charset val="129"/>
          </rPr>
          <t>자연계열</t>
        </r>
        <r>
          <rPr>
            <sz val="9"/>
            <color indexed="81"/>
            <rFont val="Tahoma"/>
            <family val="2"/>
          </rPr>
          <t>),</t>
        </r>
        <r>
          <rPr>
            <sz val="9"/>
            <color indexed="81"/>
            <rFont val="돋움"/>
            <family val="3"/>
            <charset val="129"/>
          </rPr>
          <t>자연과학대학</t>
        </r>
        <r>
          <rPr>
            <sz val="9"/>
            <color indexed="81"/>
            <rFont val="Tahoma"/>
            <family val="2"/>
          </rPr>
          <t>(</t>
        </r>
        <r>
          <rPr>
            <sz val="9"/>
            <color indexed="81"/>
            <rFont val="돋움"/>
            <family val="3"/>
            <charset val="129"/>
          </rPr>
          <t>체육학과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제외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컴퓨터학과</t>
        </r>
        <r>
          <rPr>
            <sz val="9"/>
            <color indexed="81"/>
            <rFont val="Tahoma"/>
            <family val="2"/>
          </rPr>
          <t xml:space="preserve">, </t>
        </r>
        <r>
          <rPr>
            <sz val="9"/>
            <color indexed="81"/>
            <rFont val="돋움"/>
            <family val="3"/>
            <charset val="129"/>
          </rPr>
          <t>정보보호학과</t>
        </r>
      </text>
    </comment>
    <comment ref="B77" authorId="0">
      <text>
        <r>
          <rPr>
            <b/>
            <sz val="9"/>
            <color indexed="81"/>
            <rFont val="Tahoma"/>
            <family val="2"/>
          </rPr>
          <t>Mm</t>
        </r>
        <r>
          <rPr>
            <b/>
            <sz val="9"/>
            <color indexed="81"/>
            <rFont val="돋움"/>
            <family val="3"/>
            <charset val="129"/>
          </rPr>
          <t>반정선생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교육학</t>
        </r>
        <r>
          <rPr>
            <sz val="9"/>
            <color indexed="81"/>
            <rFont val="Tahoma"/>
            <family val="2"/>
          </rPr>
          <t xml:space="preserve">, </t>
        </r>
        <r>
          <rPr>
            <sz val="9"/>
            <color indexed="81"/>
            <rFont val="돋움"/>
            <family val="3"/>
            <charset val="129"/>
          </rPr>
          <t>유아</t>
        </r>
        <r>
          <rPr>
            <sz val="9"/>
            <color indexed="81"/>
            <rFont val="Tahoma"/>
            <family val="2"/>
          </rPr>
          <t xml:space="preserve">, </t>
        </r>
        <r>
          <rPr>
            <sz val="9"/>
            <color indexed="81"/>
            <rFont val="돋움"/>
            <family val="3"/>
            <charset val="129"/>
          </rPr>
          <t>초등</t>
        </r>
      </text>
    </comment>
    <comment ref="B78" authorId="0">
      <text>
        <r>
          <rPr>
            <b/>
            <sz val="9"/>
            <color indexed="81"/>
            <rFont val="Tahoma"/>
            <family val="2"/>
          </rPr>
          <t>Mm</t>
        </r>
        <r>
          <rPr>
            <b/>
            <sz val="9"/>
            <color indexed="81"/>
            <rFont val="돋움"/>
            <family val="3"/>
            <charset val="129"/>
          </rPr>
          <t>반정선생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국어</t>
        </r>
        <r>
          <rPr>
            <sz val="9"/>
            <color indexed="81"/>
            <rFont val="Tahoma"/>
            <family val="2"/>
          </rPr>
          <t xml:space="preserve">, </t>
        </r>
        <r>
          <rPr>
            <sz val="9"/>
            <color indexed="81"/>
            <rFont val="돋움"/>
            <family val="3"/>
            <charset val="129"/>
          </rPr>
          <t>윤리</t>
        </r>
        <r>
          <rPr>
            <sz val="9"/>
            <color indexed="81"/>
            <rFont val="Tahoma"/>
            <family val="2"/>
          </rPr>
          <t xml:space="preserve">, </t>
        </r>
        <r>
          <rPr>
            <sz val="9"/>
            <color indexed="81"/>
            <rFont val="돋움"/>
            <family val="3"/>
            <charset val="129"/>
          </rPr>
          <t>일반사회</t>
        </r>
        <r>
          <rPr>
            <sz val="9"/>
            <color indexed="81"/>
            <rFont val="Tahoma"/>
            <family val="2"/>
          </rPr>
          <t>,</t>
        </r>
        <r>
          <rPr>
            <sz val="9"/>
            <color indexed="81"/>
            <rFont val="돋움"/>
            <family val="3"/>
            <charset val="129"/>
          </rPr>
          <t>지리</t>
        </r>
        <r>
          <rPr>
            <sz val="9"/>
            <color indexed="81"/>
            <rFont val="Tahoma"/>
            <family val="2"/>
          </rPr>
          <t xml:space="preserve">, </t>
        </r>
        <r>
          <rPr>
            <sz val="9"/>
            <color indexed="81"/>
            <rFont val="돋움"/>
            <family val="3"/>
            <charset val="129"/>
          </rPr>
          <t xml:space="preserve">역사
</t>
        </r>
      </text>
    </comment>
    <comment ref="B79" authorId="0">
      <text>
        <r>
          <rPr>
            <b/>
            <sz val="9"/>
            <color indexed="81"/>
            <rFont val="Tahoma"/>
            <family val="2"/>
          </rPr>
          <t>Mm</t>
        </r>
        <r>
          <rPr>
            <b/>
            <sz val="9"/>
            <color indexed="81"/>
            <rFont val="돋움"/>
            <family val="3"/>
            <charset val="129"/>
          </rPr>
          <t>반정선생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영어</t>
        </r>
        <r>
          <rPr>
            <sz val="9"/>
            <color indexed="81"/>
            <rFont val="Tahoma"/>
            <family val="2"/>
          </rPr>
          <t xml:space="preserve">, </t>
        </r>
        <r>
          <rPr>
            <sz val="9"/>
            <color indexed="81"/>
            <rFont val="돋움"/>
            <family val="3"/>
            <charset val="129"/>
          </rPr>
          <t>독어</t>
        </r>
        <r>
          <rPr>
            <sz val="9"/>
            <color indexed="81"/>
            <rFont val="Tahoma"/>
            <family val="2"/>
          </rPr>
          <t xml:space="preserve">, </t>
        </r>
        <r>
          <rPr>
            <sz val="9"/>
            <color indexed="81"/>
            <rFont val="돋움"/>
            <family val="3"/>
            <charset val="129"/>
          </rPr>
          <t xml:space="preserve">불어
</t>
        </r>
      </text>
    </comment>
    <comment ref="C84" authorId="0">
      <text>
        <r>
          <rPr>
            <b/>
            <sz val="9"/>
            <color indexed="81"/>
            <rFont val="Tahoma"/>
            <family val="2"/>
          </rPr>
          <t>Mm</t>
        </r>
        <r>
          <rPr>
            <b/>
            <sz val="9"/>
            <color indexed="81"/>
            <rFont val="돋움"/>
            <family val="3"/>
            <charset val="129"/>
          </rPr>
          <t>반정선생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전형총점500-&gt;600</t>
        </r>
      </text>
    </comment>
    <comment ref="C89" authorId="0">
      <text>
        <r>
          <rPr>
            <b/>
            <sz val="9"/>
            <color indexed="81"/>
            <rFont val="Tahoma"/>
            <family val="2"/>
          </rPr>
          <t>Mm</t>
        </r>
        <r>
          <rPr>
            <b/>
            <sz val="9"/>
            <color indexed="81"/>
            <rFont val="돋움"/>
            <family val="3"/>
            <charset val="129"/>
          </rPr>
          <t>반정선생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수능90%+학생부10%
-&gt;수능100%</t>
        </r>
      </text>
    </comment>
    <comment ref="B97" authorId="0">
      <text>
        <r>
          <rPr>
            <b/>
            <sz val="9"/>
            <color indexed="81"/>
            <rFont val="Tahoma"/>
            <family val="2"/>
          </rPr>
          <t>Mm</t>
        </r>
        <r>
          <rPr>
            <b/>
            <sz val="9"/>
            <color indexed="81"/>
            <rFont val="돋움"/>
            <family val="3"/>
            <charset val="129"/>
          </rPr>
          <t>반정선생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가형한의예에서
가/나,사/과탐 경쟁한의예로 변화</t>
        </r>
      </text>
    </comment>
    <comment ref="E98" authorId="0">
      <text>
        <r>
          <rPr>
            <b/>
            <sz val="9"/>
            <color indexed="81"/>
            <rFont val="Tahoma"/>
            <family val="2"/>
          </rPr>
          <t>Mm</t>
        </r>
        <r>
          <rPr>
            <b/>
            <sz val="9"/>
            <color indexed="81"/>
            <rFont val="돋움"/>
            <family val="3"/>
            <charset val="129"/>
          </rPr>
          <t>반정선생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나형감점-5-&gt;-10</t>
        </r>
      </text>
    </comment>
    <comment ref="G98" authorId="0">
      <text>
        <r>
          <rPr>
            <b/>
            <sz val="9"/>
            <color indexed="81"/>
            <rFont val="Tahoma"/>
            <family val="2"/>
          </rPr>
          <t>Mm</t>
        </r>
        <r>
          <rPr>
            <b/>
            <sz val="9"/>
            <color indexed="81"/>
            <rFont val="돋움"/>
            <family val="3"/>
            <charset val="129"/>
          </rPr>
          <t>반정선생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나형감점-5-&gt;-10</t>
        </r>
      </text>
    </comment>
    <comment ref="R101" authorId="0">
      <text>
        <r>
          <rPr>
            <b/>
            <sz val="9"/>
            <color indexed="81"/>
            <rFont val="Tahoma"/>
            <family val="2"/>
          </rPr>
          <t>Mm</t>
        </r>
        <r>
          <rPr>
            <b/>
            <sz val="9"/>
            <color indexed="81"/>
            <rFont val="돋움"/>
            <family val="3"/>
            <charset val="129"/>
          </rPr>
          <t>반정선생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제</t>
        </r>
        <r>
          <rPr>
            <sz val="9"/>
            <color indexed="81"/>
            <rFont val="Tahoma"/>
            <family val="2"/>
          </rPr>
          <t>2</t>
        </r>
        <r>
          <rPr>
            <sz val="9"/>
            <color indexed="81"/>
            <rFont val="돋움"/>
            <family val="3"/>
            <charset val="129"/>
          </rPr>
          <t>외국어가 탐구제3과목을 대체하고 동일언어에 지원시 가산점10%부여</t>
        </r>
      </text>
    </comment>
    <comment ref="B102" authorId="0">
      <text>
        <r>
          <rPr>
            <b/>
            <sz val="9"/>
            <color indexed="81"/>
            <rFont val="Tahoma"/>
            <family val="2"/>
          </rPr>
          <t>Mm</t>
        </r>
        <r>
          <rPr>
            <b/>
            <sz val="9"/>
            <color indexed="81"/>
            <rFont val="돋움"/>
            <family val="3"/>
            <charset val="129"/>
          </rPr>
          <t>반정선생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생활환경복지학과</t>
        </r>
        <r>
          <rPr>
            <sz val="9"/>
            <color indexed="81"/>
            <rFont val="Tahoma"/>
            <family val="2"/>
          </rPr>
          <t>,</t>
        </r>
        <r>
          <rPr>
            <sz val="9"/>
            <color indexed="81"/>
            <rFont val="돋움"/>
            <family val="3"/>
            <charset val="129"/>
          </rPr>
          <t>산림자원학부</t>
        </r>
        <r>
          <rPr>
            <sz val="9"/>
            <color indexed="81"/>
            <rFont val="Tahoma"/>
            <family val="2"/>
          </rPr>
          <t xml:space="preserve">, </t>
        </r>
        <r>
          <rPr>
            <sz val="9"/>
            <color indexed="81"/>
            <rFont val="돋움"/>
            <family val="3"/>
            <charset val="129"/>
          </rPr>
          <t>조경학과</t>
        </r>
        <r>
          <rPr>
            <sz val="9"/>
            <color indexed="81"/>
            <rFont val="Tahoma"/>
            <family val="2"/>
          </rPr>
          <t xml:space="preserve">, </t>
        </r>
        <r>
          <rPr>
            <sz val="9"/>
            <color indexed="81"/>
            <rFont val="돋움"/>
            <family val="3"/>
            <charset val="129"/>
          </rPr>
          <t xml:space="preserve">동물자원학부
</t>
        </r>
      </text>
    </comment>
    <comment ref="C104" authorId="0">
      <text>
        <r>
          <rPr>
            <b/>
            <sz val="9"/>
            <color indexed="81"/>
            <rFont val="Tahoma"/>
            <family val="2"/>
          </rPr>
          <t>Mm</t>
        </r>
        <r>
          <rPr>
            <b/>
            <sz val="9"/>
            <color indexed="81"/>
            <rFont val="돋움"/>
            <family val="3"/>
            <charset val="129"/>
          </rPr>
          <t>반정선생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기본점수200-&gt;0</t>
        </r>
      </text>
    </comment>
    <comment ref="R105" authorId="0">
      <text>
        <r>
          <rPr>
            <b/>
            <sz val="9"/>
            <color indexed="81"/>
            <rFont val="Tahoma"/>
            <family val="2"/>
          </rPr>
          <t>Mm</t>
        </r>
        <r>
          <rPr>
            <b/>
            <sz val="9"/>
            <color indexed="81"/>
            <rFont val="돋움"/>
            <family val="3"/>
            <charset val="129"/>
          </rPr>
          <t>반정선생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관련 학과에만 적용</t>
        </r>
      </text>
    </comment>
    <comment ref="R109" authorId="0">
      <text>
        <r>
          <rPr>
            <b/>
            <sz val="9"/>
            <color indexed="81"/>
            <rFont val="Tahoma"/>
            <family val="2"/>
          </rPr>
          <t>Mm</t>
        </r>
        <r>
          <rPr>
            <b/>
            <sz val="9"/>
            <color indexed="81"/>
            <rFont val="돋움"/>
            <family val="3"/>
            <charset val="129"/>
          </rPr>
          <t>반정선생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영어영문학과</t>
        </r>
        <r>
          <rPr>
            <sz val="9"/>
            <color indexed="81"/>
            <rFont val="Tahoma"/>
            <family val="2"/>
          </rPr>
          <t xml:space="preserve">, </t>
        </r>
        <r>
          <rPr>
            <sz val="9"/>
            <color indexed="81"/>
            <rFont val="돋움"/>
            <family val="3"/>
            <charset val="129"/>
          </rPr>
          <t>독어독문학과</t>
        </r>
        <r>
          <rPr>
            <sz val="9"/>
            <color indexed="81"/>
            <rFont val="Tahoma"/>
            <family val="2"/>
          </rPr>
          <t xml:space="preserve">, </t>
        </r>
        <r>
          <rPr>
            <sz val="9"/>
            <color indexed="81"/>
            <rFont val="돋움"/>
            <family val="3"/>
            <charset val="129"/>
          </rPr>
          <t>불어불문학과</t>
        </r>
        <r>
          <rPr>
            <sz val="9"/>
            <color indexed="81"/>
            <rFont val="Tahoma"/>
            <family val="2"/>
          </rPr>
          <t xml:space="preserve">, </t>
        </r>
        <r>
          <rPr>
            <sz val="9"/>
            <color indexed="81"/>
            <rFont val="돋움"/>
            <family val="3"/>
            <charset val="129"/>
          </rPr>
          <t>중어중문학과</t>
        </r>
        <r>
          <rPr>
            <sz val="9"/>
            <color indexed="81"/>
            <rFont val="Tahoma"/>
            <family val="2"/>
          </rPr>
          <t xml:space="preserve">, </t>
        </r>
        <r>
          <rPr>
            <sz val="9"/>
            <color indexed="81"/>
            <rFont val="돋움"/>
            <family val="3"/>
            <charset val="129"/>
          </rPr>
          <t>일어일문학과</t>
        </r>
        <r>
          <rPr>
            <sz val="9"/>
            <color indexed="81"/>
            <rFont val="Tahoma"/>
            <family val="2"/>
          </rPr>
          <t xml:space="preserve">, </t>
        </r>
        <r>
          <rPr>
            <sz val="9"/>
            <color indexed="81"/>
            <rFont val="돋움"/>
            <family val="3"/>
            <charset val="129"/>
          </rPr>
          <t>한문학과는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관련성과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상관없이</t>
        </r>
        <r>
          <rPr>
            <sz val="9"/>
            <color indexed="81"/>
            <rFont val="Tahoma"/>
            <family val="2"/>
          </rPr>
          <t xml:space="preserve"> 2%</t>
        </r>
        <r>
          <rPr>
            <sz val="9"/>
            <color indexed="81"/>
            <rFont val="돋움"/>
            <family val="3"/>
            <charset val="129"/>
          </rPr>
          <t xml:space="preserve">가산점
</t>
        </r>
      </text>
    </comment>
    <comment ref="B117" authorId="0">
      <text>
        <r>
          <rPr>
            <b/>
            <sz val="9"/>
            <color indexed="81"/>
            <rFont val="Tahoma"/>
            <family val="2"/>
          </rPr>
          <t>Mm</t>
        </r>
        <r>
          <rPr>
            <b/>
            <sz val="9"/>
            <color indexed="81"/>
            <rFont val="돋움"/>
            <family val="3"/>
            <charset val="129"/>
          </rPr>
          <t>반정선생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인문,상경 다른 반영비율폐지,30:30:30:10로 통일
*건축학부(인문)
*컴퓨터공학과(인문)
*산업경영공학과(인문)
-인문계열로 분할모집</t>
        </r>
      </text>
    </comment>
    <comment ref="AD117" authorId="0">
      <text>
        <r>
          <rPr>
            <b/>
            <sz val="9"/>
            <color indexed="81"/>
            <rFont val="Tahoma"/>
            <family val="2"/>
          </rPr>
          <t>Mm</t>
        </r>
        <r>
          <rPr>
            <b/>
            <sz val="9"/>
            <color indexed="81"/>
            <rFont val="돋움"/>
            <family val="3"/>
            <charset val="129"/>
          </rPr>
          <t>반정선생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반영비율 30:30:30:10로
통일</t>
        </r>
      </text>
    </comment>
    <comment ref="AD118" authorId="0">
      <text>
        <r>
          <rPr>
            <b/>
            <sz val="9"/>
            <color indexed="81"/>
            <rFont val="Tahoma"/>
            <family val="2"/>
          </rPr>
          <t>Mm</t>
        </r>
        <r>
          <rPr>
            <b/>
            <sz val="9"/>
            <color indexed="81"/>
            <rFont val="돋움"/>
            <family val="3"/>
            <charset val="129"/>
          </rPr>
          <t>반정선생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반영비율 본교과통일</t>
        </r>
        <r>
          <rPr>
            <sz val="9"/>
            <color indexed="81"/>
            <rFont val="Tahoma"/>
            <family val="2"/>
          </rPr>
          <t>30:15:40:15
-&gt;27.5:20:40:12.5</t>
        </r>
      </text>
    </comment>
    <comment ref="B119" authorId="0">
      <text>
        <r>
          <rPr>
            <b/>
            <sz val="9"/>
            <color indexed="81"/>
            <rFont val="Tahoma"/>
            <family val="2"/>
          </rPr>
          <t>Mm</t>
        </r>
        <r>
          <rPr>
            <b/>
            <sz val="9"/>
            <color indexed="81"/>
            <rFont val="돋움"/>
            <family val="3"/>
            <charset val="129"/>
          </rPr>
          <t>반정선생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우선선발과 일반선발의 다른 반영방법폐지
통합</t>
        </r>
      </text>
    </comment>
    <comment ref="C119" authorId="0">
      <text>
        <r>
          <rPr>
            <b/>
            <sz val="9"/>
            <color indexed="81"/>
            <rFont val="Tahoma"/>
            <family val="2"/>
          </rPr>
          <t>Mm</t>
        </r>
        <r>
          <rPr>
            <b/>
            <sz val="9"/>
            <color indexed="81"/>
            <rFont val="돋움"/>
            <family val="3"/>
            <charset val="129"/>
          </rPr>
          <t>반정선생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수능총점600-&gt;700</t>
        </r>
      </text>
    </comment>
    <comment ref="X119" authorId="0">
      <text>
        <r>
          <rPr>
            <b/>
            <sz val="9"/>
            <color indexed="81"/>
            <rFont val="Tahoma"/>
            <family val="2"/>
          </rPr>
          <t>Mm</t>
        </r>
        <r>
          <rPr>
            <b/>
            <sz val="9"/>
            <color indexed="81"/>
            <rFont val="돋움"/>
            <family val="3"/>
            <charset val="129"/>
          </rPr>
          <t>반정선생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언수외표점200,과탐100
-&gt;언수외표점최고,
과탐 보정최고점으로..</t>
        </r>
      </text>
    </comment>
    <comment ref="AD119" authorId="0">
      <text>
        <r>
          <rPr>
            <b/>
            <sz val="9"/>
            <color indexed="81"/>
            <rFont val="Tahoma"/>
            <family val="2"/>
          </rPr>
          <t>Mm</t>
        </r>
        <r>
          <rPr>
            <b/>
            <sz val="9"/>
            <color indexed="81"/>
            <rFont val="돋움"/>
            <family val="3"/>
            <charset val="129"/>
          </rPr>
          <t>반정선생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20:30:30:20
-&gt;2/7:2/7:2/7:1/7</t>
        </r>
      </text>
    </comment>
    <comment ref="AD121" authorId="0">
      <text>
        <r>
          <rPr>
            <b/>
            <sz val="9"/>
            <color indexed="81"/>
            <rFont val="Tahoma"/>
            <family val="2"/>
          </rPr>
          <t>Mm</t>
        </r>
        <r>
          <rPr>
            <b/>
            <sz val="9"/>
            <color indexed="81"/>
            <rFont val="돋움"/>
            <family val="3"/>
            <charset val="129"/>
          </rPr>
          <t>반정선생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본교의 인문1그룹과 동일</t>
        </r>
      </text>
    </comment>
    <comment ref="B122" authorId="0">
      <text>
        <r>
          <rPr>
            <b/>
            <sz val="9"/>
            <color indexed="81"/>
            <rFont val="Tahoma"/>
            <family val="2"/>
          </rPr>
          <t>Mm</t>
        </r>
        <r>
          <rPr>
            <b/>
            <sz val="9"/>
            <color indexed="81"/>
            <rFont val="돋움"/>
            <family val="3"/>
            <charset val="129"/>
          </rPr>
          <t>반정선생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산업경영공학과</t>
        </r>
        <r>
          <rPr>
            <sz val="9"/>
            <color indexed="81"/>
            <rFont val="Tahoma"/>
            <family val="2"/>
          </rPr>
          <t xml:space="preserve">, </t>
        </r>
        <r>
          <rPr>
            <sz val="9"/>
            <color indexed="81"/>
            <rFont val="돋움"/>
            <family val="3"/>
            <charset val="129"/>
          </rPr>
          <t>건축학과</t>
        </r>
        <r>
          <rPr>
            <sz val="9"/>
            <color indexed="81"/>
            <rFont val="Tahoma"/>
            <family val="2"/>
          </rPr>
          <t>(5</t>
        </r>
        <r>
          <rPr>
            <sz val="9"/>
            <color indexed="81"/>
            <rFont val="돋움"/>
            <family val="3"/>
            <charset val="129"/>
          </rPr>
          <t>년제</t>
        </r>
        <r>
          <rPr>
            <sz val="9"/>
            <color indexed="81"/>
            <rFont val="Tahoma"/>
            <family val="2"/>
          </rPr>
          <t xml:space="preserve">), </t>
        </r>
        <r>
          <rPr>
            <sz val="9"/>
            <color indexed="81"/>
            <rFont val="돋움"/>
            <family val="3"/>
            <charset val="129"/>
          </rPr>
          <t>식품공학과</t>
        </r>
        <r>
          <rPr>
            <sz val="9"/>
            <color indexed="81"/>
            <rFont val="Tahoma"/>
            <family val="2"/>
          </rPr>
          <t xml:space="preserve">, </t>
        </r>
        <r>
          <rPr>
            <sz val="9"/>
            <color indexed="81"/>
            <rFont val="돋움"/>
            <family val="3"/>
            <charset val="129"/>
          </rPr>
          <t>한방재료가공학과</t>
        </r>
        <r>
          <rPr>
            <sz val="9"/>
            <color indexed="81"/>
            <rFont val="Tahoma"/>
            <family val="2"/>
          </rPr>
          <t xml:space="preserve">, </t>
        </r>
        <r>
          <rPr>
            <sz val="9"/>
            <color indexed="81"/>
            <rFont val="돋움"/>
            <family val="3"/>
            <charset val="129"/>
          </rPr>
          <t>식물</t>
        </r>
        <r>
          <rPr>
            <sz val="9"/>
            <color indexed="81"/>
            <rFont val="MS Gothic"/>
            <family val="3"/>
            <charset val="128"/>
          </rPr>
          <t>･</t>
        </r>
        <r>
          <rPr>
            <sz val="9"/>
            <color indexed="81"/>
            <rFont val="돋움"/>
            <family val="3"/>
            <charset val="129"/>
          </rPr>
          <t>환경신소재공학과</t>
        </r>
        <r>
          <rPr>
            <sz val="9"/>
            <color indexed="81"/>
            <rFont val="Tahoma"/>
            <family val="2"/>
          </rPr>
          <t xml:space="preserve">, </t>
        </r>
        <r>
          <rPr>
            <sz val="9"/>
            <color indexed="81"/>
            <rFont val="돋움"/>
            <family val="3"/>
            <charset val="129"/>
          </rPr>
          <t>원예생명공학과</t>
        </r>
        <r>
          <rPr>
            <sz val="9"/>
            <color indexed="81"/>
            <rFont val="Tahoma"/>
            <family val="2"/>
          </rPr>
          <t xml:space="preserve"> 
</t>
        </r>
      </text>
    </comment>
    <comment ref="H123" authorId="0">
      <text>
        <r>
          <rPr>
            <b/>
            <sz val="9"/>
            <color indexed="81"/>
            <rFont val="Tahoma"/>
            <family val="2"/>
          </rPr>
          <t>Mm</t>
        </r>
        <r>
          <rPr>
            <b/>
            <sz val="9"/>
            <color indexed="81"/>
            <rFont val="돋움"/>
            <family val="3"/>
            <charset val="129"/>
          </rPr>
          <t>반정선생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고려대 독창적 분모</t>
        </r>
      </text>
    </comment>
    <comment ref="H124" authorId="0">
      <text>
        <r>
          <rPr>
            <b/>
            <sz val="9"/>
            <color indexed="81"/>
            <rFont val="Tahoma"/>
            <family val="2"/>
          </rPr>
          <t>Mm</t>
        </r>
        <r>
          <rPr>
            <b/>
            <sz val="9"/>
            <color indexed="81"/>
            <rFont val="돋움"/>
            <family val="3"/>
            <charset val="129"/>
          </rPr>
          <t>반정선생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고려대 독창적 분모</t>
        </r>
      </text>
    </comment>
  </commentList>
</comments>
</file>

<file path=xl/sharedStrings.xml><?xml version="1.0" encoding="utf-8"?>
<sst xmlns="http://schemas.openxmlformats.org/spreadsheetml/2006/main" count="961" uniqueCount="852">
  <si>
    <t>성명</t>
    <phoneticPr fontId="1" type="noConversion"/>
  </si>
  <si>
    <t>언어</t>
    <phoneticPr fontId="1" type="noConversion"/>
  </si>
  <si>
    <t>수리</t>
    <phoneticPr fontId="1" type="noConversion"/>
  </si>
  <si>
    <t>외국어</t>
    <phoneticPr fontId="1" type="noConversion"/>
  </si>
  <si>
    <t>탐구영역</t>
    <phoneticPr fontId="1" type="noConversion"/>
  </si>
  <si>
    <t>대학</t>
    <phoneticPr fontId="1" type="noConversion"/>
  </si>
  <si>
    <t>학과</t>
    <phoneticPr fontId="1" type="noConversion"/>
  </si>
  <si>
    <t>유형</t>
    <phoneticPr fontId="1" type="noConversion"/>
  </si>
  <si>
    <t>백분위</t>
    <phoneticPr fontId="1" type="noConversion"/>
  </si>
  <si>
    <t>연세대</t>
    <phoneticPr fontId="1" type="noConversion"/>
  </si>
  <si>
    <t>고려대</t>
    <phoneticPr fontId="1" type="noConversion"/>
  </si>
  <si>
    <t>서강대2</t>
    <phoneticPr fontId="1" type="noConversion"/>
  </si>
  <si>
    <t>이화여대1</t>
    <phoneticPr fontId="1" type="noConversion"/>
  </si>
  <si>
    <t>이화여대2</t>
    <phoneticPr fontId="1" type="noConversion"/>
  </si>
  <si>
    <t>이화여대3</t>
    <phoneticPr fontId="1" type="noConversion"/>
  </si>
  <si>
    <t>중앙대1</t>
    <phoneticPr fontId="1" type="noConversion"/>
  </si>
  <si>
    <t>서강대1</t>
    <phoneticPr fontId="1" type="noConversion"/>
  </si>
  <si>
    <t>중앙대2</t>
    <phoneticPr fontId="1" type="noConversion"/>
  </si>
  <si>
    <t>경희대1</t>
    <phoneticPr fontId="1" type="noConversion"/>
  </si>
  <si>
    <t>세지</t>
    <phoneticPr fontId="1" type="noConversion"/>
  </si>
  <si>
    <t>제2외</t>
    <phoneticPr fontId="1" type="noConversion"/>
  </si>
  <si>
    <t>외대</t>
    <phoneticPr fontId="1" type="noConversion"/>
  </si>
  <si>
    <t>표점</t>
    <phoneticPr fontId="1" type="noConversion"/>
  </si>
  <si>
    <t>백분위</t>
    <phoneticPr fontId="1" type="noConversion"/>
  </si>
  <si>
    <t>분류</t>
    <phoneticPr fontId="1" type="noConversion"/>
  </si>
  <si>
    <t>시립대</t>
    <phoneticPr fontId="1" type="noConversion"/>
  </si>
  <si>
    <t>건국대</t>
    <phoneticPr fontId="1" type="noConversion"/>
  </si>
  <si>
    <t>동국대1</t>
    <phoneticPr fontId="1" type="noConversion"/>
  </si>
  <si>
    <t>동국대2</t>
    <phoneticPr fontId="1" type="noConversion"/>
  </si>
  <si>
    <t>홍익대1</t>
    <phoneticPr fontId="1" type="noConversion"/>
  </si>
  <si>
    <t>홍익대2</t>
    <phoneticPr fontId="1" type="noConversion"/>
  </si>
  <si>
    <t>숙명여대1</t>
    <phoneticPr fontId="1" type="noConversion"/>
  </si>
  <si>
    <t>숙명여대2</t>
    <phoneticPr fontId="1" type="noConversion"/>
  </si>
  <si>
    <t>숭실대1</t>
    <phoneticPr fontId="1" type="noConversion"/>
  </si>
  <si>
    <t>숭실대2</t>
    <phoneticPr fontId="1" type="noConversion"/>
  </si>
  <si>
    <t>숭실대3</t>
    <phoneticPr fontId="1" type="noConversion"/>
  </si>
  <si>
    <t>세종대1</t>
    <phoneticPr fontId="1" type="noConversion"/>
  </si>
  <si>
    <t>인하대</t>
    <phoneticPr fontId="1" type="noConversion"/>
  </si>
  <si>
    <t>아주대1</t>
    <phoneticPr fontId="1" type="noConversion"/>
  </si>
  <si>
    <t>아주대2</t>
    <phoneticPr fontId="1" type="noConversion"/>
  </si>
  <si>
    <t>총점</t>
  </si>
  <si>
    <t>언</t>
  </si>
  <si>
    <t>수</t>
  </si>
  <si>
    <t>외</t>
  </si>
  <si>
    <t>탐구</t>
  </si>
  <si>
    <t>총점대비
영역배점</t>
  </si>
  <si>
    <t>탐구
제2외보정</t>
  </si>
  <si>
    <t>탐1</t>
  </si>
  <si>
    <t>탐2</t>
  </si>
  <si>
    <t>탐3</t>
  </si>
  <si>
    <t>탐4</t>
  </si>
  <si>
    <t>제2외국어</t>
  </si>
  <si>
    <t>환산표점
취득률</t>
  </si>
  <si>
    <t>취득률
분모표점</t>
  </si>
  <si>
    <t>탐</t>
  </si>
  <si>
    <t>제2</t>
  </si>
  <si>
    <t>반영비율</t>
  </si>
  <si>
    <t>특이사항</t>
  </si>
  <si>
    <t>연세대</t>
  </si>
  <si>
    <t>전체</t>
  </si>
  <si>
    <t>고려대</t>
  </si>
  <si>
    <t>서강대1</t>
  </si>
  <si>
    <t>서강대2</t>
  </si>
  <si>
    <t>경영</t>
  </si>
  <si>
    <t>이화여대1</t>
  </si>
  <si>
    <t>인문</t>
  </si>
  <si>
    <t>간호</t>
  </si>
  <si>
    <t>중앙대1</t>
  </si>
  <si>
    <t>중앙대2</t>
  </si>
  <si>
    <t>공공</t>
  </si>
  <si>
    <t>자연</t>
  </si>
  <si>
    <t>외대</t>
  </si>
  <si>
    <t>시립대</t>
  </si>
  <si>
    <t>건국대</t>
  </si>
  <si>
    <t>동국대1</t>
  </si>
  <si>
    <t>동국대2</t>
  </si>
  <si>
    <t>홍익대1</t>
  </si>
  <si>
    <t>홍익대2</t>
  </si>
  <si>
    <t>자전</t>
  </si>
  <si>
    <t>숙명여대1</t>
  </si>
  <si>
    <t>숙명여대2</t>
  </si>
  <si>
    <t>숭실대1</t>
  </si>
  <si>
    <t>숭실대2</t>
  </si>
  <si>
    <t>숭실대3</t>
  </si>
  <si>
    <t>세종대1</t>
  </si>
  <si>
    <t>인하대</t>
  </si>
  <si>
    <t>아주대1</t>
  </si>
  <si>
    <t>아주대2</t>
  </si>
  <si>
    <t>서울대</t>
  </si>
  <si>
    <t>서울대</t>
    <phoneticPr fontId="1" type="noConversion"/>
  </si>
  <si>
    <t>김대희</t>
  </si>
  <si>
    <t>김민규</t>
  </si>
  <si>
    <t>표준점수</t>
    <phoneticPr fontId="1" type="noConversion"/>
  </si>
  <si>
    <t>한지</t>
    <phoneticPr fontId="1" type="noConversion"/>
  </si>
  <si>
    <t>세계사</t>
    <phoneticPr fontId="1" type="noConversion"/>
  </si>
  <si>
    <t>프어</t>
    <phoneticPr fontId="1" type="noConversion"/>
  </si>
  <si>
    <t>스어</t>
    <phoneticPr fontId="1" type="noConversion"/>
  </si>
  <si>
    <t>러어</t>
    <phoneticPr fontId="1" type="noConversion"/>
  </si>
  <si>
    <t>아어</t>
    <phoneticPr fontId="1" type="noConversion"/>
  </si>
  <si>
    <t>한문</t>
    <phoneticPr fontId="1" type="noConversion"/>
  </si>
  <si>
    <t>윤리</t>
  </si>
  <si>
    <t>국사</t>
  </si>
  <si>
    <t>한지</t>
  </si>
  <si>
    <t>세지</t>
  </si>
  <si>
    <t>경지</t>
  </si>
  <si>
    <t>근현</t>
  </si>
  <si>
    <t>세계사</t>
  </si>
  <si>
    <t>법사</t>
  </si>
  <si>
    <t>정치</t>
  </si>
  <si>
    <t>경제</t>
  </si>
  <si>
    <t>사문</t>
  </si>
  <si>
    <t>독어</t>
  </si>
  <si>
    <t>프어</t>
  </si>
  <si>
    <t>스어</t>
  </si>
  <si>
    <t>중어</t>
  </si>
  <si>
    <t>일어</t>
  </si>
  <si>
    <t>러어</t>
  </si>
  <si>
    <t>아어</t>
  </si>
  <si>
    <t>한문</t>
  </si>
  <si>
    <t>김수현</t>
  </si>
  <si>
    <t>김철민</t>
  </si>
  <si>
    <t>조윤재</t>
  </si>
  <si>
    <t>일어</t>
    <phoneticPr fontId="1" type="noConversion"/>
  </si>
  <si>
    <t>프어</t>
    <phoneticPr fontId="1" type="noConversion"/>
  </si>
  <si>
    <t>언어</t>
    <phoneticPr fontId="1" type="noConversion"/>
  </si>
  <si>
    <t>수리</t>
    <phoneticPr fontId="1" type="noConversion"/>
  </si>
  <si>
    <t>외국어</t>
    <phoneticPr fontId="1" type="noConversion"/>
  </si>
  <si>
    <t>문과 수능 환산점수 계산</t>
    <phoneticPr fontId="1" type="noConversion"/>
  </si>
  <si>
    <t>명지대1</t>
    <phoneticPr fontId="1" type="noConversion"/>
  </si>
  <si>
    <t>명지대2</t>
    <phoneticPr fontId="1" type="noConversion"/>
  </si>
  <si>
    <t>서경대1</t>
    <phoneticPr fontId="1" type="noConversion"/>
  </si>
  <si>
    <t>서경대2</t>
    <phoneticPr fontId="1" type="noConversion"/>
  </si>
  <si>
    <t>한성대1</t>
    <phoneticPr fontId="1" type="noConversion"/>
  </si>
  <si>
    <t>한성대2</t>
    <phoneticPr fontId="1" type="noConversion"/>
  </si>
  <si>
    <t>삼육대1</t>
    <phoneticPr fontId="1" type="noConversion"/>
  </si>
  <si>
    <t>삼육대2</t>
    <phoneticPr fontId="1" type="noConversion"/>
  </si>
  <si>
    <t>삼육대3</t>
    <phoneticPr fontId="1" type="noConversion"/>
  </si>
  <si>
    <t>광운대1</t>
    <phoneticPr fontId="1" type="noConversion"/>
  </si>
  <si>
    <t>광운대2</t>
    <phoneticPr fontId="1" type="noConversion"/>
  </si>
  <si>
    <t>광운대3</t>
    <phoneticPr fontId="1" type="noConversion"/>
  </si>
  <si>
    <t>광운대4</t>
    <phoneticPr fontId="1" type="noConversion"/>
  </si>
  <si>
    <t>광운대5</t>
    <phoneticPr fontId="1" type="noConversion"/>
  </si>
  <si>
    <t>가톨릭1</t>
    <phoneticPr fontId="1" type="noConversion"/>
  </si>
  <si>
    <t>가톨릭3</t>
    <phoneticPr fontId="1" type="noConversion"/>
  </si>
  <si>
    <t>성신여대1</t>
    <phoneticPr fontId="1" type="noConversion"/>
  </si>
  <si>
    <t>서울여대1</t>
    <phoneticPr fontId="1" type="noConversion"/>
  </si>
  <si>
    <t>서울여대2</t>
    <phoneticPr fontId="1" type="noConversion"/>
  </si>
  <si>
    <t>서울여대3</t>
    <phoneticPr fontId="1" type="noConversion"/>
  </si>
  <si>
    <t>경인교대</t>
    <phoneticPr fontId="1" type="noConversion"/>
  </si>
  <si>
    <t>서울교대</t>
    <phoneticPr fontId="1" type="noConversion"/>
  </si>
  <si>
    <t>교원대1</t>
    <phoneticPr fontId="1" type="noConversion"/>
  </si>
  <si>
    <t>교원대2</t>
    <phoneticPr fontId="1" type="noConversion"/>
  </si>
  <si>
    <t>교원대3</t>
    <phoneticPr fontId="1" type="noConversion"/>
  </si>
  <si>
    <t>공주교대</t>
    <phoneticPr fontId="1" type="noConversion"/>
  </si>
  <si>
    <t>광주교대</t>
    <phoneticPr fontId="1" type="noConversion"/>
  </si>
  <si>
    <t>부산교대</t>
    <phoneticPr fontId="1" type="noConversion"/>
  </si>
  <si>
    <t>대구교대</t>
    <phoneticPr fontId="1" type="noConversion"/>
  </si>
  <si>
    <t>전주교대</t>
    <phoneticPr fontId="1" type="noConversion"/>
  </si>
  <si>
    <t>진주교대</t>
    <phoneticPr fontId="1" type="noConversion"/>
  </si>
  <si>
    <t>청주교대</t>
    <phoneticPr fontId="1" type="noConversion"/>
  </si>
  <si>
    <t>춘천교대</t>
    <phoneticPr fontId="1" type="noConversion"/>
  </si>
  <si>
    <t>교육대학모음</t>
    <phoneticPr fontId="1" type="noConversion"/>
  </si>
  <si>
    <t>경원대1</t>
    <phoneticPr fontId="1" type="noConversion"/>
  </si>
  <si>
    <t>경원대2</t>
    <phoneticPr fontId="1" type="noConversion"/>
  </si>
  <si>
    <t>대전대</t>
    <phoneticPr fontId="1" type="noConversion"/>
  </si>
  <si>
    <t>세명대</t>
    <phoneticPr fontId="1" type="noConversion"/>
  </si>
  <si>
    <t>대구한의대</t>
    <phoneticPr fontId="1" type="noConversion"/>
  </si>
  <si>
    <t>동의대</t>
    <phoneticPr fontId="1" type="noConversion"/>
  </si>
  <si>
    <t>원광대</t>
    <phoneticPr fontId="1" type="noConversion"/>
  </si>
  <si>
    <t>상지대</t>
    <phoneticPr fontId="1" type="noConversion"/>
  </si>
  <si>
    <t>나형/사탐가능 치의예과모음</t>
    <phoneticPr fontId="1" type="noConversion"/>
  </si>
  <si>
    <t>나형/사탐가능 한의예과모음</t>
    <phoneticPr fontId="1" type="noConversion"/>
  </si>
  <si>
    <t>나형/사탐가능 의예과모음</t>
    <phoneticPr fontId="1" type="noConversion"/>
  </si>
  <si>
    <t>순천향대</t>
  </si>
  <si>
    <t>순천향대</t>
    <phoneticPr fontId="1" type="noConversion"/>
  </si>
  <si>
    <t>을지대</t>
  </si>
  <si>
    <t>기본점수350점</t>
  </si>
  <si>
    <t>을지대</t>
    <phoneticPr fontId="1" type="noConversion"/>
  </si>
  <si>
    <t>자연</t>
    <phoneticPr fontId="1" type="noConversion"/>
  </si>
  <si>
    <t>전체</t>
    <phoneticPr fontId="1" type="noConversion"/>
  </si>
  <si>
    <t>군사</t>
    <phoneticPr fontId="1" type="noConversion"/>
  </si>
  <si>
    <t>사과</t>
    <phoneticPr fontId="1" type="noConversion"/>
  </si>
  <si>
    <t>영/미</t>
    <phoneticPr fontId="1" type="noConversion"/>
  </si>
  <si>
    <t>중/일</t>
    <phoneticPr fontId="1" type="noConversion"/>
  </si>
  <si>
    <t>법학</t>
    <phoneticPr fontId="1" type="noConversion"/>
  </si>
  <si>
    <t>경영</t>
    <phoneticPr fontId="1" type="noConversion"/>
  </si>
  <si>
    <t>국문</t>
    <phoneticPr fontId="1" type="noConversion"/>
  </si>
  <si>
    <t>디지</t>
    <phoneticPr fontId="1" type="noConversion"/>
  </si>
  <si>
    <t>간호</t>
    <phoneticPr fontId="1" type="noConversion"/>
  </si>
  <si>
    <t>가군</t>
    <phoneticPr fontId="1" type="noConversion"/>
  </si>
  <si>
    <t>일반</t>
    <phoneticPr fontId="1" type="noConversion"/>
  </si>
  <si>
    <t>전문</t>
    <phoneticPr fontId="1" type="noConversion"/>
  </si>
  <si>
    <t>외국</t>
    <phoneticPr fontId="1" type="noConversion"/>
  </si>
  <si>
    <t>한의</t>
    <phoneticPr fontId="1" type="noConversion"/>
  </si>
  <si>
    <t>의예</t>
    <phoneticPr fontId="1" type="noConversion"/>
  </si>
  <si>
    <t>전체</t>
    <phoneticPr fontId="1" type="noConversion"/>
  </si>
  <si>
    <t>전체(총600)</t>
    <phoneticPr fontId="1" type="noConversion"/>
  </si>
  <si>
    <t>독특</t>
    <phoneticPr fontId="1" type="noConversion"/>
  </si>
  <si>
    <t>언수외표점</t>
    <phoneticPr fontId="1" type="noConversion"/>
  </si>
  <si>
    <t>탐구</t>
    <phoneticPr fontId="1" type="noConversion"/>
  </si>
  <si>
    <t>보정</t>
    <phoneticPr fontId="1" type="noConversion"/>
  </si>
  <si>
    <t>최고점</t>
    <phoneticPr fontId="1" type="noConversion"/>
  </si>
  <si>
    <t>언수외탐</t>
    <phoneticPr fontId="1" type="noConversion"/>
  </si>
  <si>
    <t>백분위</t>
    <phoneticPr fontId="1" type="noConversion"/>
  </si>
  <si>
    <t>표점최</t>
    <phoneticPr fontId="1" type="noConversion"/>
  </si>
  <si>
    <t>언수외탐표점</t>
    <phoneticPr fontId="1" type="noConversion"/>
  </si>
  <si>
    <t>정대성</t>
  </si>
  <si>
    <t>신기정</t>
  </si>
  <si>
    <t>이재정</t>
  </si>
  <si>
    <t>독어</t>
    <phoneticPr fontId="1" type="noConversion"/>
  </si>
  <si>
    <t>스어</t>
    <phoneticPr fontId="1" type="noConversion"/>
  </si>
  <si>
    <t>지방&amp;경기권 주요대학 모음</t>
    <phoneticPr fontId="1" type="noConversion"/>
  </si>
  <si>
    <t>경북대</t>
    <phoneticPr fontId="1" type="noConversion"/>
  </si>
  <si>
    <t>보정/최고</t>
    <phoneticPr fontId="1" type="noConversion"/>
  </si>
  <si>
    <t>전체</t>
    <phoneticPr fontId="1" type="noConversion"/>
  </si>
  <si>
    <t>200&amp;100</t>
    <phoneticPr fontId="1" type="noConversion"/>
  </si>
  <si>
    <t>경상대</t>
    <phoneticPr fontId="1" type="noConversion"/>
  </si>
  <si>
    <t>전체</t>
    <phoneticPr fontId="1" type="noConversion"/>
  </si>
  <si>
    <t>충남대</t>
    <phoneticPr fontId="1" type="noConversion"/>
  </si>
  <si>
    <t>경기대</t>
    <phoneticPr fontId="1" type="noConversion"/>
  </si>
  <si>
    <t>외대용인</t>
    <phoneticPr fontId="1" type="noConversion"/>
  </si>
  <si>
    <t>충북대</t>
    <phoneticPr fontId="1" type="noConversion"/>
  </si>
  <si>
    <t>이과전체</t>
    <phoneticPr fontId="1" type="noConversion"/>
  </si>
  <si>
    <t>삼육대4</t>
    <phoneticPr fontId="1" type="noConversion"/>
  </si>
  <si>
    <t>전체</t>
    <phoneticPr fontId="1" type="noConversion"/>
  </si>
  <si>
    <t>경영</t>
    <phoneticPr fontId="1" type="noConversion"/>
  </si>
  <si>
    <t>경희대2</t>
    <phoneticPr fontId="1" type="noConversion"/>
  </si>
  <si>
    <t>경희대3</t>
    <phoneticPr fontId="1" type="noConversion"/>
  </si>
  <si>
    <t>전체</t>
    <phoneticPr fontId="1" type="noConversion"/>
  </si>
  <si>
    <t>경희대국제1</t>
    <phoneticPr fontId="1" type="noConversion"/>
  </si>
  <si>
    <t>경희대국제2</t>
    <phoneticPr fontId="1" type="noConversion"/>
  </si>
  <si>
    <t>경희대국제3</t>
    <phoneticPr fontId="1" type="noConversion"/>
  </si>
  <si>
    <t>국제학과</t>
    <phoneticPr fontId="1" type="noConversion"/>
  </si>
  <si>
    <t>외국어대학</t>
    <phoneticPr fontId="1" type="noConversion"/>
  </si>
  <si>
    <t>자연2</t>
    <phoneticPr fontId="1" type="noConversion"/>
  </si>
  <si>
    <t>단국대1</t>
    <phoneticPr fontId="1" type="noConversion"/>
  </si>
  <si>
    <t>단국대2</t>
    <phoneticPr fontId="1" type="noConversion"/>
  </si>
  <si>
    <t>단국대3</t>
    <phoneticPr fontId="1" type="noConversion"/>
  </si>
  <si>
    <t>정보통계,건축</t>
    <phoneticPr fontId="1" type="noConversion"/>
  </si>
  <si>
    <t>상경</t>
    <phoneticPr fontId="1" type="noConversion"/>
  </si>
  <si>
    <t>서경대3</t>
    <phoneticPr fontId="1" type="noConversion"/>
  </si>
  <si>
    <t>서경대4</t>
    <phoneticPr fontId="1" type="noConversion"/>
  </si>
  <si>
    <t>글로벌경영</t>
    <phoneticPr fontId="1" type="noConversion"/>
  </si>
  <si>
    <t>의류,외식,소비자주거</t>
    <phoneticPr fontId="1" type="noConversion"/>
  </si>
  <si>
    <t>상명대1</t>
    <phoneticPr fontId="1" type="noConversion"/>
  </si>
  <si>
    <t>상명대2</t>
    <phoneticPr fontId="1" type="noConversion"/>
  </si>
  <si>
    <t>부산대1</t>
    <phoneticPr fontId="1" type="noConversion"/>
  </si>
  <si>
    <t>부산대2</t>
    <phoneticPr fontId="1" type="noConversion"/>
  </si>
  <si>
    <t>생활환경</t>
    <phoneticPr fontId="1" type="noConversion"/>
  </si>
  <si>
    <t>생명자원</t>
    <phoneticPr fontId="1" type="noConversion"/>
  </si>
  <si>
    <t>부산대3</t>
    <phoneticPr fontId="1" type="noConversion"/>
  </si>
  <si>
    <t>제주교대</t>
    <phoneticPr fontId="1" type="noConversion"/>
  </si>
  <si>
    <t>경영,영어</t>
    <phoneticPr fontId="1" type="noConversion"/>
  </si>
  <si>
    <t>항공대1</t>
    <phoneticPr fontId="1" type="noConversion"/>
  </si>
  <si>
    <t>항공대2</t>
    <phoneticPr fontId="1" type="noConversion"/>
  </si>
  <si>
    <t>언수외</t>
    <phoneticPr fontId="1" type="noConversion"/>
  </si>
  <si>
    <t>표점최</t>
    <phoneticPr fontId="1" type="noConversion"/>
  </si>
  <si>
    <t>탐구</t>
    <phoneticPr fontId="1" type="noConversion"/>
  </si>
  <si>
    <t>백분위</t>
    <phoneticPr fontId="1" type="noConversion"/>
  </si>
  <si>
    <t>인문2그룹</t>
    <phoneticPr fontId="1" type="noConversion"/>
  </si>
  <si>
    <t>한의/치의/의예</t>
    <phoneticPr fontId="1" type="noConversion"/>
  </si>
  <si>
    <t>원광대</t>
    <phoneticPr fontId="1" type="noConversion"/>
  </si>
  <si>
    <t>건축</t>
    <phoneticPr fontId="1" type="noConversion"/>
  </si>
  <si>
    <t>국민대1</t>
    <phoneticPr fontId="1" type="noConversion"/>
  </si>
  <si>
    <t>국민대2</t>
    <phoneticPr fontId="1" type="noConversion"/>
  </si>
  <si>
    <t>전체</t>
    <phoneticPr fontId="1" type="noConversion"/>
  </si>
  <si>
    <t>경상,자연일부</t>
    <phoneticPr fontId="1" type="noConversion"/>
  </si>
  <si>
    <t>표점최고</t>
    <phoneticPr fontId="1" type="noConversion"/>
  </si>
  <si>
    <t>표점최저</t>
    <phoneticPr fontId="1" type="noConversion"/>
  </si>
  <si>
    <t>언</t>
    <phoneticPr fontId="1" type="noConversion"/>
  </si>
  <si>
    <t>수</t>
    <phoneticPr fontId="1" type="noConversion"/>
  </si>
  <si>
    <t>외</t>
    <phoneticPr fontId="1" type="noConversion"/>
  </si>
  <si>
    <t>윤리</t>
    <phoneticPr fontId="1" type="noConversion"/>
  </si>
  <si>
    <t>국사</t>
    <phoneticPr fontId="1" type="noConversion"/>
  </si>
  <si>
    <t>한지</t>
    <phoneticPr fontId="1" type="noConversion"/>
  </si>
  <si>
    <t>세지</t>
    <phoneticPr fontId="1" type="noConversion"/>
  </si>
  <si>
    <t>경지</t>
    <phoneticPr fontId="1" type="noConversion"/>
  </si>
  <si>
    <t>근현</t>
    <phoneticPr fontId="1" type="noConversion"/>
  </si>
  <si>
    <t>세계사</t>
    <phoneticPr fontId="1" type="noConversion"/>
  </si>
  <si>
    <t>법사</t>
    <phoneticPr fontId="1" type="noConversion"/>
  </si>
  <si>
    <t>정치</t>
    <phoneticPr fontId="1" type="noConversion"/>
  </si>
  <si>
    <t>경제</t>
    <phoneticPr fontId="1" type="noConversion"/>
  </si>
  <si>
    <t>사문</t>
    <phoneticPr fontId="1" type="noConversion"/>
  </si>
  <si>
    <t>중어</t>
    <phoneticPr fontId="1" type="noConversion"/>
  </si>
  <si>
    <t>성균관대</t>
    <phoneticPr fontId="1" type="noConversion"/>
  </si>
  <si>
    <t>중앙대안성</t>
    <phoneticPr fontId="1" type="noConversion"/>
  </si>
  <si>
    <t>전체</t>
    <phoneticPr fontId="1" type="noConversion"/>
  </si>
  <si>
    <t>한양대</t>
    <phoneticPr fontId="1" type="noConversion"/>
  </si>
  <si>
    <t>한양대안산</t>
    <phoneticPr fontId="1" type="noConversion"/>
  </si>
  <si>
    <t>자연2그룹</t>
    <phoneticPr fontId="1" type="noConversion"/>
  </si>
  <si>
    <t>가톨릭2</t>
    <phoneticPr fontId="1" type="noConversion"/>
  </si>
  <si>
    <t>자연,공대,IT일부</t>
    <phoneticPr fontId="1" type="noConversion"/>
  </si>
  <si>
    <t>건축및 기타자연</t>
    <phoneticPr fontId="1" type="noConversion"/>
  </si>
  <si>
    <t>기타전체</t>
    <phoneticPr fontId="1" type="noConversion"/>
  </si>
  <si>
    <t>자연3</t>
    <phoneticPr fontId="1" type="noConversion"/>
  </si>
  <si>
    <t>자연</t>
    <phoneticPr fontId="1" type="noConversion"/>
  </si>
  <si>
    <t>경제,자연</t>
    <phoneticPr fontId="1" type="noConversion"/>
  </si>
  <si>
    <t>성신여대2</t>
    <phoneticPr fontId="1" type="noConversion"/>
  </si>
  <si>
    <t>성신여대3</t>
    <phoneticPr fontId="1" type="noConversion"/>
  </si>
  <si>
    <t>국사,세계사</t>
    <phoneticPr fontId="1" type="noConversion"/>
  </si>
  <si>
    <t>가산+2%</t>
    <phoneticPr fontId="1" type="noConversion"/>
  </si>
  <si>
    <t>자연</t>
    <phoneticPr fontId="1" type="noConversion"/>
  </si>
  <si>
    <t>안양대1</t>
    <phoneticPr fontId="1" type="noConversion"/>
  </si>
  <si>
    <t>안양대2</t>
    <phoneticPr fontId="1" type="noConversion"/>
  </si>
  <si>
    <t>자연</t>
    <phoneticPr fontId="1" type="noConversion"/>
  </si>
  <si>
    <t>덕성여대1</t>
    <phoneticPr fontId="1" type="noConversion"/>
  </si>
  <si>
    <t>덕성여대2</t>
    <phoneticPr fontId="1" type="noConversion"/>
  </si>
  <si>
    <t>동신대</t>
    <phoneticPr fontId="1" type="noConversion"/>
  </si>
  <si>
    <t>한의</t>
    <phoneticPr fontId="1" type="noConversion"/>
  </si>
  <si>
    <t>가형+5%</t>
    <phoneticPr fontId="1" type="noConversion"/>
  </si>
  <si>
    <t>과탐+5%</t>
    <phoneticPr fontId="1" type="noConversion"/>
  </si>
  <si>
    <t>의예(총700)</t>
    <phoneticPr fontId="1" type="noConversion"/>
  </si>
  <si>
    <t>자연</t>
    <phoneticPr fontId="1" type="noConversion"/>
  </si>
  <si>
    <t>수원대1</t>
    <phoneticPr fontId="1" type="noConversion"/>
  </si>
  <si>
    <t>수원대2</t>
    <phoneticPr fontId="1" type="noConversion"/>
  </si>
  <si>
    <t>성균관대</t>
    <phoneticPr fontId="1" type="noConversion"/>
  </si>
  <si>
    <t>한양대</t>
    <phoneticPr fontId="1" type="noConversion"/>
  </si>
  <si>
    <t>이화여대2</t>
    <phoneticPr fontId="1" type="noConversion"/>
  </si>
  <si>
    <t>국민대1</t>
    <phoneticPr fontId="1" type="noConversion"/>
  </si>
  <si>
    <t>국민대2</t>
    <phoneticPr fontId="1" type="noConversion"/>
  </si>
  <si>
    <t>단국대1</t>
    <phoneticPr fontId="1" type="noConversion"/>
  </si>
  <si>
    <t>단국대2</t>
    <phoneticPr fontId="1" type="noConversion"/>
  </si>
  <si>
    <t>단국대3</t>
    <phoneticPr fontId="1" type="noConversion"/>
  </si>
  <si>
    <t>명지대1</t>
    <phoneticPr fontId="1" type="noConversion"/>
  </si>
  <si>
    <t>명지대2</t>
    <phoneticPr fontId="1" type="noConversion"/>
  </si>
  <si>
    <t>서경대1</t>
    <phoneticPr fontId="1" type="noConversion"/>
  </si>
  <si>
    <t>서경대2</t>
    <phoneticPr fontId="1" type="noConversion"/>
  </si>
  <si>
    <t>충북대</t>
    <phoneticPr fontId="1" type="noConversion"/>
  </si>
  <si>
    <t>경북대</t>
    <phoneticPr fontId="1" type="noConversion"/>
  </si>
  <si>
    <t>이화여대3</t>
    <phoneticPr fontId="1" type="noConversion"/>
  </si>
  <si>
    <t>경희대2</t>
    <phoneticPr fontId="1" type="noConversion"/>
  </si>
  <si>
    <t>경희대1</t>
    <phoneticPr fontId="1" type="noConversion"/>
  </si>
  <si>
    <t>경희대3</t>
    <phoneticPr fontId="1" type="noConversion"/>
  </si>
  <si>
    <t>서경대3</t>
    <phoneticPr fontId="1" type="noConversion"/>
  </si>
  <si>
    <t>서경대4</t>
    <phoneticPr fontId="1" type="noConversion"/>
  </si>
  <si>
    <t>한성대1</t>
    <phoneticPr fontId="1" type="noConversion"/>
  </si>
  <si>
    <t>한성대2</t>
    <phoneticPr fontId="1" type="noConversion"/>
  </si>
  <si>
    <t>한성대3</t>
    <phoneticPr fontId="1" type="noConversion"/>
  </si>
  <si>
    <t>삼육대1</t>
    <phoneticPr fontId="1" type="noConversion"/>
  </si>
  <si>
    <t>삼육대2</t>
    <phoneticPr fontId="1" type="noConversion"/>
  </si>
  <si>
    <t>삼육대3</t>
    <phoneticPr fontId="1" type="noConversion"/>
  </si>
  <si>
    <t>광운대1</t>
    <phoneticPr fontId="1" type="noConversion"/>
  </si>
  <si>
    <t>광운대2</t>
    <phoneticPr fontId="1" type="noConversion"/>
  </si>
  <si>
    <t>광운대3</t>
    <phoneticPr fontId="1" type="noConversion"/>
  </si>
  <si>
    <t>광운대4</t>
    <phoneticPr fontId="1" type="noConversion"/>
  </si>
  <si>
    <t>광운대5</t>
    <phoneticPr fontId="1" type="noConversion"/>
  </si>
  <si>
    <t>상명대1</t>
    <phoneticPr fontId="1" type="noConversion"/>
  </si>
  <si>
    <t>상명대2</t>
    <phoneticPr fontId="1" type="noConversion"/>
  </si>
  <si>
    <t>가톨릭1</t>
    <phoneticPr fontId="1" type="noConversion"/>
  </si>
  <si>
    <t>가톨릭2</t>
    <phoneticPr fontId="1" type="noConversion"/>
  </si>
  <si>
    <t>가톨릭3</t>
    <phoneticPr fontId="1" type="noConversion"/>
  </si>
  <si>
    <t>성신여대1</t>
    <phoneticPr fontId="1" type="noConversion"/>
  </si>
  <si>
    <t>성신여대2</t>
    <phoneticPr fontId="1" type="noConversion"/>
  </si>
  <si>
    <t>성신여대3</t>
    <phoneticPr fontId="1" type="noConversion"/>
  </si>
  <si>
    <t>덕성여대1</t>
    <phoneticPr fontId="1" type="noConversion"/>
  </si>
  <si>
    <t>덕성여대2</t>
    <phoneticPr fontId="1" type="noConversion"/>
  </si>
  <si>
    <t>서울여대1</t>
    <phoneticPr fontId="1" type="noConversion"/>
  </si>
  <si>
    <t>서울여대2</t>
    <phoneticPr fontId="1" type="noConversion"/>
  </si>
  <si>
    <t>서울여대3</t>
    <phoneticPr fontId="1" type="noConversion"/>
  </si>
  <si>
    <t>동덕여대</t>
    <phoneticPr fontId="1" type="noConversion"/>
  </si>
  <si>
    <t>경인교대</t>
    <phoneticPr fontId="1" type="noConversion"/>
  </si>
  <si>
    <t>서울교대</t>
    <phoneticPr fontId="1" type="noConversion"/>
  </si>
  <si>
    <t>교원대1</t>
    <phoneticPr fontId="1" type="noConversion"/>
  </si>
  <si>
    <t>교원대2</t>
    <phoneticPr fontId="1" type="noConversion"/>
  </si>
  <si>
    <t>교원대3</t>
    <phoneticPr fontId="1" type="noConversion"/>
  </si>
  <si>
    <t>공주교대</t>
    <phoneticPr fontId="1" type="noConversion"/>
  </si>
  <si>
    <t>광주교대</t>
    <phoneticPr fontId="1" type="noConversion"/>
  </si>
  <si>
    <t>부산교대</t>
    <phoneticPr fontId="1" type="noConversion"/>
  </si>
  <si>
    <t>대구교대</t>
    <phoneticPr fontId="1" type="noConversion"/>
  </si>
  <si>
    <t>전주교대</t>
    <phoneticPr fontId="1" type="noConversion"/>
  </si>
  <si>
    <t>진주교대</t>
    <phoneticPr fontId="1" type="noConversion"/>
  </si>
  <si>
    <t>청주교대</t>
    <phoneticPr fontId="1" type="noConversion"/>
  </si>
  <si>
    <t>춘천교대</t>
    <phoneticPr fontId="1" type="noConversion"/>
  </si>
  <si>
    <t>제주교대</t>
    <phoneticPr fontId="1" type="noConversion"/>
  </si>
  <si>
    <t>경원대1</t>
    <phoneticPr fontId="1" type="noConversion"/>
  </si>
  <si>
    <t>경원대2</t>
    <phoneticPr fontId="1" type="noConversion"/>
  </si>
  <si>
    <t>대전대</t>
    <phoneticPr fontId="1" type="noConversion"/>
  </si>
  <si>
    <t>대구한의대</t>
    <phoneticPr fontId="1" type="noConversion"/>
  </si>
  <si>
    <t>동의대</t>
    <phoneticPr fontId="1" type="noConversion"/>
  </si>
  <si>
    <t>세명대</t>
    <phoneticPr fontId="1" type="noConversion"/>
  </si>
  <si>
    <t>상지대</t>
    <phoneticPr fontId="1" type="noConversion"/>
  </si>
  <si>
    <t>원광대</t>
    <phoneticPr fontId="1" type="noConversion"/>
  </si>
  <si>
    <t>동신대</t>
    <phoneticPr fontId="1" type="noConversion"/>
  </si>
  <si>
    <t>부산대1</t>
    <phoneticPr fontId="1" type="noConversion"/>
  </si>
  <si>
    <t>부산대2</t>
    <phoneticPr fontId="1" type="noConversion"/>
  </si>
  <si>
    <t>부산대3</t>
    <phoneticPr fontId="1" type="noConversion"/>
  </si>
  <si>
    <t>경상대</t>
    <phoneticPr fontId="1" type="noConversion"/>
  </si>
  <si>
    <t>충남대</t>
    <phoneticPr fontId="1" type="noConversion"/>
  </si>
  <si>
    <t>항공대1</t>
    <phoneticPr fontId="1" type="noConversion"/>
  </si>
  <si>
    <t>항공대2</t>
    <phoneticPr fontId="1" type="noConversion"/>
  </si>
  <si>
    <t>경기대</t>
    <phoneticPr fontId="1" type="noConversion"/>
  </si>
  <si>
    <t>수원대1</t>
    <phoneticPr fontId="1" type="noConversion"/>
  </si>
  <si>
    <t>수원대2</t>
    <phoneticPr fontId="1" type="noConversion"/>
  </si>
  <si>
    <t>안양대1</t>
    <phoneticPr fontId="1" type="noConversion"/>
  </si>
  <si>
    <t>안양대2</t>
    <phoneticPr fontId="1" type="noConversion"/>
  </si>
  <si>
    <t>한양대안산</t>
    <phoneticPr fontId="1" type="noConversion"/>
  </si>
  <si>
    <t>외대용인</t>
    <phoneticPr fontId="1" type="noConversion"/>
  </si>
  <si>
    <t>중앙대안성</t>
    <phoneticPr fontId="1" type="noConversion"/>
  </si>
  <si>
    <t>경희대국제2</t>
    <phoneticPr fontId="1" type="noConversion"/>
  </si>
  <si>
    <t>경희대국제1</t>
    <phoneticPr fontId="1" type="noConversion"/>
  </si>
  <si>
    <t>경희대국제3</t>
    <phoneticPr fontId="1" type="noConversion"/>
  </si>
  <si>
    <t>범례</t>
    <phoneticPr fontId="1" type="noConversion"/>
  </si>
  <si>
    <t>우선/수능100</t>
    <phoneticPr fontId="1" type="noConversion"/>
  </si>
  <si>
    <t>2011년 환산점</t>
    <phoneticPr fontId="1" type="noConversion"/>
  </si>
  <si>
    <t>인문,자연전체</t>
    <phoneticPr fontId="1" type="noConversion"/>
  </si>
  <si>
    <t>동덕여대</t>
    <phoneticPr fontId="1" type="noConversion"/>
  </si>
  <si>
    <t>전남대2</t>
    <phoneticPr fontId="1" type="noConversion"/>
  </si>
  <si>
    <t>인문</t>
    <phoneticPr fontId="1" type="noConversion"/>
  </si>
  <si>
    <t>전남대1</t>
    <phoneticPr fontId="1" type="noConversion"/>
  </si>
  <si>
    <t>전남대2</t>
    <phoneticPr fontId="1" type="noConversion"/>
  </si>
  <si>
    <t>전남대1</t>
    <phoneticPr fontId="1" type="noConversion"/>
  </si>
  <si>
    <t>전남대3</t>
    <phoneticPr fontId="1" type="noConversion"/>
  </si>
  <si>
    <t>자연</t>
    <phoneticPr fontId="1" type="noConversion"/>
  </si>
  <si>
    <t>전남대3</t>
    <phoneticPr fontId="1" type="noConversion"/>
  </si>
  <si>
    <t>고려대세종1</t>
    <phoneticPr fontId="1" type="noConversion"/>
  </si>
  <si>
    <t>고려대세종2</t>
    <phoneticPr fontId="1" type="noConversion"/>
  </si>
  <si>
    <t>인문</t>
    <phoneticPr fontId="1" type="noConversion"/>
  </si>
  <si>
    <t>경상대,공공행정학부</t>
    <phoneticPr fontId="1" type="noConversion"/>
  </si>
  <si>
    <t>고려대세종1</t>
    <phoneticPr fontId="1" type="noConversion"/>
  </si>
  <si>
    <t>고려대세종2</t>
    <phoneticPr fontId="1" type="noConversion"/>
  </si>
  <si>
    <t>연세대원주1</t>
    <phoneticPr fontId="1" type="noConversion"/>
  </si>
  <si>
    <t>연세대원주2</t>
    <phoneticPr fontId="1" type="noConversion"/>
  </si>
  <si>
    <t>사회</t>
    <phoneticPr fontId="1" type="noConversion"/>
  </si>
  <si>
    <t>연세대원주1</t>
    <phoneticPr fontId="1" type="noConversion"/>
  </si>
  <si>
    <t>연세대원주2</t>
    <phoneticPr fontId="1" type="noConversion"/>
  </si>
  <si>
    <t>러어</t>
    <phoneticPr fontId="1" type="noConversion"/>
  </si>
  <si>
    <t>아어</t>
    <phoneticPr fontId="1" type="noConversion"/>
  </si>
  <si>
    <t>한문</t>
    <phoneticPr fontId="1" type="noConversion"/>
  </si>
  <si>
    <t>인문계열제외한전체</t>
    <phoneticPr fontId="1" type="noConversion"/>
  </si>
  <si>
    <t>한성대3</t>
    <phoneticPr fontId="1" type="noConversion"/>
  </si>
  <si>
    <t>인문</t>
    <phoneticPr fontId="1" type="noConversion"/>
  </si>
  <si>
    <t>아주대3</t>
    <phoneticPr fontId="1" type="noConversion"/>
  </si>
  <si>
    <t>아주대4</t>
    <phoneticPr fontId="1" type="noConversion"/>
  </si>
  <si>
    <t>가-경영,금융,e비즈,자연2</t>
    <phoneticPr fontId="1" type="noConversion"/>
  </si>
  <si>
    <t>가-인문,사회과학,자전</t>
    <phoneticPr fontId="1" type="noConversion"/>
  </si>
  <si>
    <t>다-경영,금융,e비즈,자연2</t>
    <phoneticPr fontId="1" type="noConversion"/>
  </si>
  <si>
    <t>다-인문,사회과학,자전</t>
    <phoneticPr fontId="1" type="noConversion"/>
  </si>
  <si>
    <t>아주대3</t>
    <phoneticPr fontId="1" type="noConversion"/>
  </si>
  <si>
    <t>아주대4</t>
    <phoneticPr fontId="1" type="noConversion"/>
  </si>
  <si>
    <t>세종대2</t>
    <phoneticPr fontId="1" type="noConversion"/>
  </si>
  <si>
    <t>세종대3</t>
    <phoneticPr fontId="1" type="noConversion"/>
  </si>
  <si>
    <t>세종대2</t>
    <phoneticPr fontId="1" type="noConversion"/>
  </si>
  <si>
    <t>세종대3</t>
    <phoneticPr fontId="1" type="noConversion"/>
  </si>
  <si>
    <t>탐구에..</t>
    <phoneticPr fontId="1" type="noConversion"/>
  </si>
  <si>
    <t>인문제외 문과</t>
    <phoneticPr fontId="1" type="noConversion"/>
  </si>
  <si>
    <t>신학,유아교육</t>
    <phoneticPr fontId="1" type="noConversion"/>
  </si>
  <si>
    <t>삼육대4</t>
    <phoneticPr fontId="1" type="noConversion"/>
  </si>
  <si>
    <t>삼육대5</t>
    <phoneticPr fontId="1" type="noConversion"/>
  </si>
  <si>
    <t>경영계,사복,상담</t>
    <phoneticPr fontId="1" type="noConversion"/>
  </si>
  <si>
    <t>삼육대5</t>
    <phoneticPr fontId="1" type="noConversion"/>
  </si>
  <si>
    <t>홍익대3</t>
    <phoneticPr fontId="1" type="noConversion"/>
  </si>
  <si>
    <t>홍익대4</t>
    <phoneticPr fontId="1" type="noConversion"/>
  </si>
  <si>
    <t>숙명여대3</t>
    <phoneticPr fontId="1" type="noConversion"/>
  </si>
  <si>
    <t>숙명여대4</t>
    <phoneticPr fontId="1" type="noConversion"/>
  </si>
  <si>
    <t>국민대3</t>
    <phoneticPr fontId="1" type="noConversion"/>
  </si>
  <si>
    <t>국민대4</t>
    <phoneticPr fontId="1" type="noConversion"/>
  </si>
  <si>
    <t>한성대4</t>
    <phoneticPr fontId="1" type="noConversion"/>
  </si>
  <si>
    <t>한성대5</t>
    <phoneticPr fontId="1" type="noConversion"/>
  </si>
  <si>
    <t>한성대6</t>
    <phoneticPr fontId="1" type="noConversion"/>
  </si>
  <si>
    <t>삼육대6</t>
    <phoneticPr fontId="1" type="noConversion"/>
  </si>
  <si>
    <t>삼육대7</t>
    <phoneticPr fontId="1" type="noConversion"/>
  </si>
  <si>
    <t>단국대4</t>
    <phoneticPr fontId="1" type="noConversion"/>
  </si>
  <si>
    <t>단국대5</t>
    <phoneticPr fontId="1" type="noConversion"/>
  </si>
  <si>
    <t>단국대6</t>
    <phoneticPr fontId="1" type="noConversion"/>
  </si>
  <si>
    <t>가톨릭4</t>
    <phoneticPr fontId="1" type="noConversion"/>
  </si>
  <si>
    <t>가톨릭5</t>
    <phoneticPr fontId="1" type="noConversion"/>
  </si>
  <si>
    <t>가톨릭6</t>
    <phoneticPr fontId="1" type="noConversion"/>
  </si>
  <si>
    <t>성신여대4</t>
    <phoneticPr fontId="1" type="noConversion"/>
  </si>
  <si>
    <t>성신여대5</t>
    <phoneticPr fontId="1" type="noConversion"/>
  </si>
  <si>
    <t>성신여대6</t>
    <phoneticPr fontId="1" type="noConversion"/>
  </si>
  <si>
    <t>나군 경제,자연</t>
    <phoneticPr fontId="1" type="noConversion"/>
  </si>
  <si>
    <t>나군 간호</t>
    <phoneticPr fontId="1" type="noConversion"/>
  </si>
  <si>
    <t>가군 경제,자연</t>
    <phoneticPr fontId="1" type="noConversion"/>
  </si>
  <si>
    <t>가군 간호</t>
    <phoneticPr fontId="1" type="noConversion"/>
  </si>
  <si>
    <t>가군전체(경영포함)</t>
    <phoneticPr fontId="1" type="noConversion"/>
  </si>
  <si>
    <t>나군전체(경영포함)</t>
    <phoneticPr fontId="1" type="noConversion"/>
  </si>
  <si>
    <t>항공대3</t>
    <phoneticPr fontId="1" type="noConversion"/>
  </si>
  <si>
    <t>항공대4</t>
    <phoneticPr fontId="1" type="noConversion"/>
  </si>
  <si>
    <t>경기대1</t>
    <phoneticPr fontId="1" type="noConversion"/>
  </si>
  <si>
    <t>안양대3</t>
    <phoneticPr fontId="1" type="noConversion"/>
  </si>
  <si>
    <t>안양대4</t>
    <phoneticPr fontId="1" type="noConversion"/>
  </si>
  <si>
    <t>충북대1</t>
    <phoneticPr fontId="1" type="noConversion"/>
  </si>
  <si>
    <t>경상대1</t>
    <phoneticPr fontId="1" type="noConversion"/>
  </si>
  <si>
    <t>전남대4</t>
    <phoneticPr fontId="1" type="noConversion"/>
  </si>
  <si>
    <t>전남대5</t>
    <phoneticPr fontId="1" type="noConversion"/>
  </si>
  <si>
    <t>전남대6</t>
    <phoneticPr fontId="1" type="noConversion"/>
  </si>
  <si>
    <t>영남대</t>
    <phoneticPr fontId="1" type="noConversion"/>
  </si>
  <si>
    <t>영남대</t>
    <phoneticPr fontId="1" type="noConversion"/>
  </si>
  <si>
    <t>다군전체</t>
    <phoneticPr fontId="1" type="noConversion"/>
  </si>
  <si>
    <t>영남대1</t>
    <phoneticPr fontId="1" type="noConversion"/>
  </si>
  <si>
    <t>문과생</t>
    <phoneticPr fontId="14" type="noConversion"/>
  </si>
  <si>
    <t>강민성</t>
  </si>
  <si>
    <t>강신영</t>
  </si>
  <si>
    <t>권용태</t>
  </si>
  <si>
    <t>김가을</t>
  </si>
  <si>
    <t>김경은</t>
  </si>
  <si>
    <t>김경준</t>
  </si>
  <si>
    <t>김영은</t>
  </si>
  <si>
    <t>김은경</t>
  </si>
  <si>
    <t>김항년</t>
  </si>
  <si>
    <t>류형석</t>
  </si>
  <si>
    <t>박민아</t>
  </si>
  <si>
    <t>박선영</t>
  </si>
  <si>
    <t>배항석</t>
  </si>
  <si>
    <t>변효선</t>
  </si>
  <si>
    <t>송한준</t>
  </si>
  <si>
    <t>오연배</t>
  </si>
  <si>
    <t>유재훈</t>
  </si>
  <si>
    <t>유종수</t>
  </si>
  <si>
    <t>윤동민</t>
  </si>
  <si>
    <t>이승일</t>
  </si>
  <si>
    <t>이승재</t>
  </si>
  <si>
    <t>이연민</t>
  </si>
  <si>
    <t>이원준</t>
  </si>
  <si>
    <t>이현정</t>
  </si>
  <si>
    <t>임세영</t>
  </si>
  <si>
    <t>정윤주</t>
  </si>
  <si>
    <t>정지은</t>
  </si>
  <si>
    <t>조한일</t>
  </si>
  <si>
    <t>최관열</t>
  </si>
  <si>
    <t>최병호</t>
  </si>
  <si>
    <t>최예훈</t>
  </si>
  <si>
    <t>최찬우</t>
  </si>
  <si>
    <t>최태호</t>
  </si>
  <si>
    <t>홍예찬</t>
  </si>
  <si>
    <t>황신애</t>
  </si>
  <si>
    <t>강라영</t>
  </si>
  <si>
    <t>고혜원</t>
  </si>
  <si>
    <t>권용욱</t>
  </si>
  <si>
    <t>김동훈</t>
  </si>
  <si>
    <t>김병욱</t>
  </si>
  <si>
    <t>김세동</t>
  </si>
  <si>
    <t>김용연</t>
  </si>
  <si>
    <t>김정연</t>
  </si>
  <si>
    <t>김태욱</t>
  </si>
  <si>
    <t>김현기</t>
  </si>
  <si>
    <t>김현기1</t>
  </si>
  <si>
    <t>김현석</t>
  </si>
  <si>
    <t>김현재</t>
  </si>
  <si>
    <t>도지훈</t>
  </si>
  <si>
    <t>류형훈</t>
  </si>
  <si>
    <t>박익환</t>
  </si>
  <si>
    <t>박정명</t>
  </si>
  <si>
    <t>박찬영</t>
  </si>
  <si>
    <t>박찬웅</t>
  </si>
  <si>
    <t>변유진</t>
  </si>
  <si>
    <t>손휘민</t>
  </si>
  <si>
    <t>신영철</t>
  </si>
  <si>
    <t>심규승</t>
  </si>
  <si>
    <t>윤서연</t>
  </si>
  <si>
    <t>이건영</t>
  </si>
  <si>
    <t>이민우</t>
  </si>
  <si>
    <t>이소현</t>
  </si>
  <si>
    <t>이현승</t>
  </si>
  <si>
    <t>이현욱</t>
  </si>
  <si>
    <t>이호석</t>
  </si>
  <si>
    <t>정주희</t>
  </si>
  <si>
    <t>정혜윤</t>
  </si>
  <si>
    <t>조은희</t>
  </si>
  <si>
    <t>최수정</t>
  </si>
  <si>
    <t>최형운</t>
  </si>
  <si>
    <t>홍대호</t>
  </si>
  <si>
    <t>강동윤</t>
  </si>
  <si>
    <t>강영곤</t>
  </si>
  <si>
    <t>김건우</t>
  </si>
  <si>
    <t>김덕호</t>
  </si>
  <si>
    <t>김도휘</t>
  </si>
  <si>
    <t>김동욱</t>
  </si>
  <si>
    <t>김선옥</t>
  </si>
  <si>
    <t>김시은</t>
  </si>
  <si>
    <t>김정훈1</t>
  </si>
  <si>
    <t>김준호</t>
  </si>
  <si>
    <t>김현수1</t>
  </si>
  <si>
    <t>김현우</t>
  </si>
  <si>
    <t>김희은</t>
  </si>
  <si>
    <t>박민재</t>
  </si>
  <si>
    <t>박병진1</t>
  </si>
  <si>
    <t>박정욱</t>
  </si>
  <si>
    <t>방경호</t>
  </si>
  <si>
    <t>백호림</t>
  </si>
  <si>
    <t>손진호</t>
  </si>
  <si>
    <t>신동환</t>
  </si>
  <si>
    <t>염기훈</t>
  </si>
  <si>
    <t>오태환</t>
  </si>
  <si>
    <t>윤유진</t>
  </si>
  <si>
    <t>이근화</t>
  </si>
  <si>
    <t>이동엽</t>
  </si>
  <si>
    <t>이보미</t>
  </si>
  <si>
    <t>이영욱</t>
  </si>
  <si>
    <t>이진솔1</t>
  </si>
  <si>
    <t>이현정1</t>
  </si>
  <si>
    <t>이호중</t>
  </si>
  <si>
    <t>임성빈</t>
  </si>
  <si>
    <t>장별희</t>
  </si>
  <si>
    <t>정성훈</t>
  </si>
  <si>
    <t>차혜림</t>
  </si>
  <si>
    <t>최귀향</t>
  </si>
  <si>
    <t>최수홍</t>
  </si>
  <si>
    <t>최용준</t>
  </si>
  <si>
    <t>권수진</t>
  </si>
  <si>
    <t>김고나</t>
  </si>
  <si>
    <t>김근형</t>
  </si>
  <si>
    <t>김다솜</t>
  </si>
  <si>
    <t>김동규1</t>
  </si>
  <si>
    <t>김상열</t>
  </si>
  <si>
    <t>김예나</t>
  </si>
  <si>
    <t>김윤지</t>
  </si>
  <si>
    <t>김현규</t>
  </si>
  <si>
    <t>김효정1</t>
  </si>
  <si>
    <t>박윤지</t>
  </si>
  <si>
    <t>백수민</t>
  </si>
  <si>
    <t>백재곤</t>
  </si>
  <si>
    <t>서유나</t>
  </si>
  <si>
    <t>송현명</t>
  </si>
  <si>
    <t>안준혁</t>
  </si>
  <si>
    <t>오승준</t>
  </si>
  <si>
    <t>이상욱</t>
  </si>
  <si>
    <t>이서영</t>
  </si>
  <si>
    <t>이성묵</t>
  </si>
  <si>
    <t>이종찬</t>
  </si>
  <si>
    <t>이하늬</t>
  </si>
  <si>
    <t>이호균</t>
  </si>
  <si>
    <t>임기석</t>
  </si>
  <si>
    <t>임동신</t>
  </si>
  <si>
    <t>임재정</t>
  </si>
  <si>
    <t>장석문</t>
  </si>
  <si>
    <t>장혁준</t>
  </si>
  <si>
    <t>장혜리</t>
  </si>
  <si>
    <t>전석균</t>
  </si>
  <si>
    <t>정유단</t>
  </si>
  <si>
    <t>정정태</t>
  </si>
  <si>
    <t>조승철</t>
  </si>
  <si>
    <t>조영재</t>
  </si>
  <si>
    <t>한관우</t>
  </si>
  <si>
    <t>허지훈</t>
  </si>
  <si>
    <t>강동화</t>
  </si>
  <si>
    <t>구상우</t>
  </si>
  <si>
    <t>권성화</t>
  </si>
  <si>
    <t>김소정</t>
  </si>
  <si>
    <t>김수빈</t>
  </si>
  <si>
    <t>김정윤</t>
  </si>
  <si>
    <t>김지웅</t>
  </si>
  <si>
    <t>김태용</t>
  </si>
  <si>
    <t>김호근</t>
  </si>
  <si>
    <t>김효정</t>
  </si>
  <si>
    <t>박범준</t>
  </si>
  <si>
    <t>박성호</t>
  </si>
  <si>
    <t>박주성</t>
  </si>
  <si>
    <t>송진원</t>
  </si>
  <si>
    <t>시지혜</t>
  </si>
  <si>
    <t>신용빈</t>
  </si>
  <si>
    <t>안민기</t>
  </si>
  <si>
    <t>윤다영</t>
  </si>
  <si>
    <t>윤빛나</t>
  </si>
  <si>
    <t>윤정훈</t>
  </si>
  <si>
    <t>이세미</t>
  </si>
  <si>
    <t>이예진</t>
  </si>
  <si>
    <t>이준상</t>
  </si>
  <si>
    <t>이혜진</t>
  </si>
  <si>
    <t>이호연</t>
  </si>
  <si>
    <t>장용수</t>
  </si>
  <si>
    <t>전양현</t>
  </si>
  <si>
    <t>정다솔</t>
  </si>
  <si>
    <t>정재우</t>
  </si>
  <si>
    <t>정현진</t>
  </si>
  <si>
    <t>주힘찬</t>
  </si>
  <si>
    <t>황지윤</t>
  </si>
  <si>
    <t>고영아</t>
  </si>
  <si>
    <t>권현의</t>
  </si>
  <si>
    <t>권희태</t>
  </si>
  <si>
    <t>김단비</t>
  </si>
  <si>
    <t>김동원</t>
  </si>
  <si>
    <t>김유리</t>
  </si>
  <si>
    <t>김중곤</t>
  </si>
  <si>
    <t>문시우</t>
  </si>
  <si>
    <t>박웅</t>
  </si>
  <si>
    <t>신나영</t>
  </si>
  <si>
    <t>오소영</t>
  </si>
  <si>
    <t>윤현식</t>
  </si>
  <si>
    <t>이광형</t>
  </si>
  <si>
    <t>이원재</t>
  </si>
  <si>
    <t>이희승</t>
  </si>
  <si>
    <t>임세훈</t>
  </si>
  <si>
    <t>장지민</t>
  </si>
  <si>
    <t>최단비</t>
  </si>
  <si>
    <t>최은주</t>
  </si>
  <si>
    <t>최준일</t>
  </si>
  <si>
    <t>하유라</t>
  </si>
  <si>
    <t>허경선</t>
  </si>
  <si>
    <t>허진영</t>
  </si>
  <si>
    <t>홍민정</t>
  </si>
  <si>
    <t>황동녘</t>
  </si>
  <si>
    <t>강다현</t>
  </si>
  <si>
    <t>김경태</t>
  </si>
  <si>
    <t>김길환</t>
  </si>
  <si>
    <t>김동현1</t>
  </si>
  <si>
    <t>김민서</t>
  </si>
  <si>
    <t>김승균</t>
  </si>
  <si>
    <t>김영수</t>
  </si>
  <si>
    <t>김윤수</t>
  </si>
  <si>
    <t>김주현1</t>
  </si>
  <si>
    <t>김지범</t>
  </si>
  <si>
    <t>김한빈</t>
  </si>
  <si>
    <t>노상민</t>
  </si>
  <si>
    <t>문경민</t>
  </si>
  <si>
    <t>박아름</t>
  </si>
  <si>
    <t>송승완</t>
  </si>
  <si>
    <t>신기수</t>
  </si>
  <si>
    <t>이동건1</t>
  </si>
  <si>
    <t>이수연</t>
  </si>
  <si>
    <t>이수지</t>
  </si>
  <si>
    <t>정다빈</t>
  </si>
  <si>
    <t>조수진</t>
  </si>
  <si>
    <t>주수정</t>
  </si>
  <si>
    <t>최환</t>
  </si>
  <si>
    <t>허승욱</t>
  </si>
  <si>
    <t>한양대1</t>
    <phoneticPr fontId="1" type="noConversion"/>
  </si>
  <si>
    <t>중앙대3</t>
    <phoneticPr fontId="1" type="noConversion"/>
  </si>
  <si>
    <t>중앙대4</t>
    <phoneticPr fontId="1" type="noConversion"/>
  </si>
  <si>
    <t>건국대1</t>
    <phoneticPr fontId="1" type="noConversion"/>
  </si>
  <si>
    <t>동국대3</t>
    <phoneticPr fontId="1" type="noConversion"/>
  </si>
  <si>
    <t>동국대4</t>
    <phoneticPr fontId="1" type="noConversion"/>
  </si>
  <si>
    <t>한양대안산1</t>
    <phoneticPr fontId="1" type="noConversion"/>
  </si>
  <si>
    <t>중앙대안성1</t>
    <phoneticPr fontId="1" type="noConversion"/>
  </si>
  <si>
    <t>원광대1</t>
    <phoneticPr fontId="1" type="noConversion"/>
  </si>
  <si>
    <t>동신대1</t>
    <phoneticPr fontId="1" type="noConversion"/>
  </si>
  <si>
    <t>전체(총400)</t>
    <phoneticPr fontId="1" type="noConversion"/>
  </si>
  <si>
    <t>기본점46</t>
    <phoneticPr fontId="1" type="noConversion"/>
  </si>
  <si>
    <t>언어에..</t>
    <phoneticPr fontId="1" type="noConversion"/>
  </si>
  <si>
    <t>사탐각+5%</t>
    <phoneticPr fontId="1" type="noConversion"/>
  </si>
  <si>
    <t>제2외+5%</t>
    <phoneticPr fontId="1" type="noConversion"/>
  </si>
  <si>
    <t>가형+5%</t>
    <phoneticPr fontId="1" type="noConversion"/>
  </si>
  <si>
    <t>과탐+5%</t>
    <phoneticPr fontId="1" type="noConversion"/>
  </si>
  <si>
    <t>사탐+5%</t>
    <phoneticPr fontId="1" type="noConversion"/>
  </si>
  <si>
    <t>사탐가산</t>
    <phoneticPr fontId="1" type="noConversion"/>
  </si>
  <si>
    <t>없어짐</t>
    <phoneticPr fontId="1" type="noConversion"/>
  </si>
  <si>
    <t>사학과</t>
    <phoneticPr fontId="1" type="noConversion"/>
  </si>
  <si>
    <t>국사,근현</t>
    <phoneticPr fontId="1" type="noConversion"/>
  </si>
  <si>
    <t>윤리교육</t>
    <phoneticPr fontId="1" type="noConversion"/>
  </si>
  <si>
    <t>윤리+2%</t>
    <phoneticPr fontId="1" type="noConversion"/>
  </si>
  <si>
    <t>가형+10%</t>
    <phoneticPr fontId="1" type="noConversion"/>
  </si>
  <si>
    <t>외궈+5%</t>
    <phoneticPr fontId="1" type="noConversion"/>
  </si>
  <si>
    <t>언,수+3%</t>
    <phoneticPr fontId="1" type="noConversion"/>
  </si>
  <si>
    <t>가형5%</t>
    <phoneticPr fontId="1" type="noConversion"/>
  </si>
  <si>
    <t>과탐2%</t>
    <phoneticPr fontId="1" type="noConversion"/>
  </si>
  <si>
    <t>정시처음</t>
    <phoneticPr fontId="1" type="noConversion"/>
  </si>
  <si>
    <t>가형+점수</t>
    <phoneticPr fontId="1" type="noConversion"/>
  </si>
  <si>
    <t>과탐+점수</t>
    <phoneticPr fontId="1" type="noConversion"/>
  </si>
  <si>
    <t>가산없음</t>
    <phoneticPr fontId="1" type="noConversion"/>
  </si>
  <si>
    <t>나형-10</t>
    <phoneticPr fontId="1" type="noConversion"/>
  </si>
  <si>
    <t>사탐-10</t>
    <phoneticPr fontId="1" type="noConversion"/>
  </si>
  <si>
    <t>기본점수400점</t>
    <phoneticPr fontId="1" type="noConversion"/>
  </si>
  <si>
    <t>학과별제2외 가산5%</t>
    <phoneticPr fontId="1" type="noConversion"/>
  </si>
  <si>
    <t>과탐+10%</t>
    <phoneticPr fontId="1" type="noConversion"/>
  </si>
  <si>
    <t>학과별제2외 가산2%</t>
    <phoneticPr fontId="1" type="noConversion"/>
  </si>
  <si>
    <t>사탐+2%</t>
    <phoneticPr fontId="1" type="noConversion"/>
  </si>
  <si>
    <t>초등교육</t>
    <phoneticPr fontId="1" type="noConversion"/>
  </si>
  <si>
    <t>가형가산</t>
    <phoneticPr fontId="1" type="noConversion"/>
  </si>
  <si>
    <t>독어불어</t>
    <phoneticPr fontId="1" type="noConversion"/>
  </si>
  <si>
    <t>제2외사용가</t>
    <phoneticPr fontId="1" type="noConversion"/>
  </si>
  <si>
    <t>모집유형</t>
    <phoneticPr fontId="1" type="noConversion"/>
  </si>
  <si>
    <t>진학+메가와 동일</t>
    <phoneticPr fontId="1" type="noConversion"/>
  </si>
  <si>
    <t>사탐</t>
    <phoneticPr fontId="1" type="noConversion"/>
  </si>
  <si>
    <t>국사</t>
    <phoneticPr fontId="1" type="noConversion"/>
  </si>
  <si>
    <t>윤리</t>
    <phoneticPr fontId="1" type="noConversion"/>
  </si>
  <si>
    <t>한지</t>
    <phoneticPr fontId="1" type="noConversion"/>
  </si>
  <si>
    <t>세지</t>
    <phoneticPr fontId="1" type="noConversion"/>
  </si>
  <si>
    <t>경지</t>
    <phoneticPr fontId="1" type="noConversion"/>
  </si>
  <si>
    <t>근현</t>
    <phoneticPr fontId="1" type="noConversion"/>
  </si>
  <si>
    <t>세계사</t>
    <phoneticPr fontId="1" type="noConversion"/>
  </si>
  <si>
    <t>법사</t>
    <phoneticPr fontId="1" type="noConversion"/>
  </si>
  <si>
    <t>정치</t>
    <phoneticPr fontId="1" type="noConversion"/>
  </si>
  <si>
    <t>경제</t>
    <phoneticPr fontId="1" type="noConversion"/>
  </si>
  <si>
    <t>사문</t>
    <phoneticPr fontId="1" type="noConversion"/>
  </si>
  <si>
    <t>제2외</t>
    <phoneticPr fontId="1" type="noConversion"/>
  </si>
  <si>
    <t>독어</t>
    <phoneticPr fontId="1" type="noConversion"/>
  </si>
  <si>
    <t>프어</t>
    <phoneticPr fontId="1" type="noConversion"/>
  </si>
  <si>
    <t>스어</t>
    <phoneticPr fontId="1" type="noConversion"/>
  </si>
  <si>
    <t>중어</t>
    <phoneticPr fontId="1" type="noConversion"/>
  </si>
  <si>
    <t>일어</t>
    <phoneticPr fontId="1" type="noConversion"/>
  </si>
  <si>
    <t>러어</t>
    <phoneticPr fontId="1" type="noConversion"/>
  </si>
  <si>
    <t>아어</t>
    <phoneticPr fontId="1" type="noConversion"/>
  </si>
  <si>
    <t>한문</t>
    <phoneticPr fontId="1" type="noConversion"/>
  </si>
  <si>
    <t>탐구변환만 불일치</t>
    <phoneticPr fontId="1" type="noConversion"/>
  </si>
  <si>
    <t>성균관대1</t>
    <phoneticPr fontId="1" type="noConversion"/>
  </si>
  <si>
    <t>김형석</t>
    <phoneticPr fontId="1" type="noConversion"/>
  </si>
  <si>
    <t>사탐목록</t>
    <phoneticPr fontId="1" type="noConversion"/>
  </si>
  <si>
    <t>윤리-&gt;</t>
    <phoneticPr fontId="1" type="noConversion"/>
  </si>
  <si>
    <t>국사-&gt;</t>
    <phoneticPr fontId="1" type="noConversion"/>
  </si>
  <si>
    <t>한지-&gt;</t>
    <phoneticPr fontId="1" type="noConversion"/>
  </si>
  <si>
    <t>세계지리-&gt;</t>
    <phoneticPr fontId="1" type="noConversion"/>
  </si>
  <si>
    <t>경제지리-&gt;</t>
    <phoneticPr fontId="1" type="noConversion"/>
  </si>
  <si>
    <t>근현대사-&gt;</t>
    <phoneticPr fontId="1" type="noConversion"/>
  </si>
  <si>
    <t>세계사-&gt;</t>
    <phoneticPr fontId="1" type="noConversion"/>
  </si>
  <si>
    <t>정치-&gt;</t>
    <phoneticPr fontId="1" type="noConversion"/>
  </si>
  <si>
    <t>경제-&gt;</t>
    <phoneticPr fontId="1" type="noConversion"/>
  </si>
  <si>
    <t>사회문화-&gt;</t>
    <phoneticPr fontId="1" type="noConversion"/>
  </si>
  <si>
    <t>제2외국어/한문</t>
    <phoneticPr fontId="1" type="noConversion"/>
  </si>
  <si>
    <t>독일어-&gt;</t>
    <phoneticPr fontId="1" type="noConversion"/>
  </si>
  <si>
    <t>프랑스어-&gt;</t>
    <phoneticPr fontId="1" type="noConversion"/>
  </si>
  <si>
    <t>스페인어-&gt;</t>
    <phoneticPr fontId="1" type="noConversion"/>
  </si>
  <si>
    <t>중국어-&gt;</t>
    <phoneticPr fontId="1" type="noConversion"/>
  </si>
  <si>
    <t>일본어-&gt;</t>
    <phoneticPr fontId="1" type="noConversion"/>
  </si>
  <si>
    <t>러시아어-&gt;</t>
    <phoneticPr fontId="1" type="noConversion"/>
  </si>
  <si>
    <t>아랍어-&gt;</t>
    <phoneticPr fontId="1" type="noConversion"/>
  </si>
  <si>
    <t>법과사회-&gt;</t>
    <phoneticPr fontId="1" type="noConversion"/>
  </si>
  <si>
    <t>한문-&gt;</t>
    <phoneticPr fontId="1" type="noConversion"/>
  </si>
  <si>
    <t>사탐</t>
    <phoneticPr fontId="1" type="noConversion"/>
  </si>
  <si>
    <t>유형</t>
    <phoneticPr fontId="1" type="noConversion"/>
  </si>
  <si>
    <t>제2외국어</t>
    <phoneticPr fontId="1" type="noConversion"/>
  </si>
  <si>
    <t>연세대</t>
    <phoneticPr fontId="1" type="noConversion"/>
  </si>
  <si>
    <t>고려대</t>
    <phoneticPr fontId="1" type="noConversion"/>
  </si>
  <si>
    <t>서강대</t>
    <phoneticPr fontId="1" type="noConversion"/>
  </si>
  <si>
    <t>성균관대</t>
    <phoneticPr fontId="1" type="noConversion"/>
  </si>
  <si>
    <t>한양대</t>
    <phoneticPr fontId="1" type="noConversion"/>
  </si>
  <si>
    <t>중앙대</t>
    <phoneticPr fontId="1" type="noConversion"/>
  </si>
  <si>
    <t>시립대</t>
    <phoneticPr fontId="1" type="noConversion"/>
  </si>
  <si>
    <t>건국대</t>
    <phoneticPr fontId="1" type="noConversion"/>
  </si>
  <si>
    <t>동국대</t>
    <phoneticPr fontId="1" type="noConversion"/>
  </si>
  <si>
    <t>인하대</t>
    <phoneticPr fontId="1" type="noConversion"/>
  </si>
  <si>
    <t>경북대</t>
    <phoneticPr fontId="1" type="noConversion"/>
  </si>
  <si>
    <t>백분위</t>
    <phoneticPr fontId="1" type="noConversion"/>
  </si>
  <si>
    <t>연세대</t>
    <phoneticPr fontId="1" type="noConversion"/>
  </si>
  <si>
    <t>고려대</t>
    <phoneticPr fontId="1" type="noConversion"/>
  </si>
  <si>
    <t>서강대</t>
    <phoneticPr fontId="1" type="noConversion"/>
  </si>
  <si>
    <t>한양대</t>
    <phoneticPr fontId="1" type="noConversion"/>
  </si>
  <si>
    <t>사탐보정점수(서울대)</t>
    <phoneticPr fontId="1" type="noConversion"/>
  </si>
  <si>
    <t>제2외국어 보정점수(서울대)</t>
    <phoneticPr fontId="1" type="noConversion"/>
  </si>
  <si>
    <t>사탐보정점수(한양대)</t>
    <phoneticPr fontId="1" type="noConversion"/>
  </si>
  <si>
    <t>제2외국어 보정점수(한양대)</t>
    <phoneticPr fontId="1" type="noConversion"/>
  </si>
  <si>
    <t>국사</t>
    <phoneticPr fontId="1" type="noConversion"/>
  </si>
  <si>
    <t>한지</t>
    <phoneticPr fontId="1" type="noConversion"/>
  </si>
  <si>
    <t>세지</t>
    <phoneticPr fontId="1" type="noConversion"/>
  </si>
  <si>
    <t>경지</t>
    <phoneticPr fontId="1" type="noConversion"/>
  </si>
  <si>
    <t>근현</t>
    <phoneticPr fontId="1" type="noConversion"/>
  </si>
  <si>
    <t>경제</t>
    <phoneticPr fontId="1" type="noConversion"/>
  </si>
  <si>
    <t>사문</t>
    <phoneticPr fontId="1" type="noConversion"/>
  </si>
  <si>
    <t>독어</t>
    <phoneticPr fontId="1" type="noConversion"/>
  </si>
  <si>
    <t>중어</t>
    <phoneticPr fontId="1" type="noConversion"/>
  </si>
  <si>
    <t>일어</t>
    <phoneticPr fontId="1" type="noConversion"/>
  </si>
  <si>
    <t>국사</t>
    <phoneticPr fontId="1" type="noConversion"/>
  </si>
  <si>
    <t>세계사</t>
    <phoneticPr fontId="1" type="noConversion"/>
  </si>
  <si>
    <t>법사</t>
    <phoneticPr fontId="1" type="noConversion"/>
  </si>
  <si>
    <t>정치</t>
    <phoneticPr fontId="1" type="noConversion"/>
  </si>
  <si>
    <t>독어</t>
    <phoneticPr fontId="1" type="noConversion"/>
  </si>
  <si>
    <t>프어</t>
    <phoneticPr fontId="1" type="noConversion"/>
  </si>
  <si>
    <t>스어</t>
    <phoneticPr fontId="1" type="noConversion"/>
  </si>
  <si>
    <t>일어</t>
    <phoneticPr fontId="1" type="noConversion"/>
  </si>
  <si>
    <t>러어</t>
    <phoneticPr fontId="1" type="noConversion"/>
  </si>
  <si>
    <t>아어</t>
    <phoneticPr fontId="1" type="noConversion"/>
  </si>
  <si>
    <t>한문</t>
    <phoneticPr fontId="1" type="noConversion"/>
  </si>
  <si>
    <t>안녕하세요.광주메가스터디 정복일입니다.
탐구영역(파란색)과 제2외국어(노란색)을 지정하고 성적을 입력하세요.남색으로 표시된 대학은 진학사와 메가환산점과 동일합니다.노란색으로 표시된 대학 탐구보정점수가 발표되지않아, 환산점수가 차이나는 대학입니다. 시트보호 되어있구요.
 모두모두 건승하세요!!</t>
    <phoneticPr fontId="1" type="noConversion"/>
  </si>
</sst>
</file>

<file path=xl/styles.xml><?xml version="1.0" encoding="utf-8"?>
<styleSheet xmlns="http://schemas.openxmlformats.org/spreadsheetml/2006/main">
  <numFmts count="7">
    <numFmt numFmtId="176" formatCode="0.00_ "/>
    <numFmt numFmtId="177" formatCode="0.000_ "/>
    <numFmt numFmtId="178" formatCode="0.0000_ "/>
    <numFmt numFmtId="179" formatCode="0.00_);[Red]\(0.00\)"/>
    <numFmt numFmtId="180" formatCode="0.0000_);[Red]\(0.0000\)"/>
    <numFmt numFmtId="181" formatCode="0.000_);[Red]\(0.000\)"/>
    <numFmt numFmtId="182" formatCode="0_);[Red]\(0\)"/>
  </numFmts>
  <fonts count="31">
    <font>
      <sz val="10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3"/>
      <color theme="1"/>
      <name val="맑은 고딕"/>
      <family val="3"/>
      <charset val="129"/>
      <scheme val="minor"/>
    </font>
    <font>
      <b/>
      <u/>
      <sz val="15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1"/>
      <color indexed="8"/>
      <name val="맑은 고딕"/>
      <family val="3"/>
      <charset val="129"/>
    </font>
    <font>
      <b/>
      <sz val="10"/>
      <color theme="1"/>
      <name val="맑은 고딕"/>
      <family val="3"/>
      <charset val="129"/>
      <scheme val="minor"/>
    </font>
    <font>
      <sz val="9"/>
      <color rgb="FF000000"/>
      <name val="바탕"/>
      <family val="1"/>
      <charset val="129"/>
    </font>
    <font>
      <sz val="11"/>
      <color theme="1"/>
      <name val="맑은 고딕"/>
      <family val="3"/>
      <charset val="129"/>
      <scheme val="minor"/>
    </font>
    <font>
      <sz val="7"/>
      <color theme="1"/>
      <name val="맑은 고딕"/>
      <family val="3"/>
      <charset val="129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  <font>
      <sz val="9"/>
      <color indexed="81"/>
      <name val="돋움"/>
      <family val="3"/>
      <charset val="129"/>
    </font>
    <font>
      <sz val="8"/>
      <name val="맑은 고딕"/>
      <family val="3"/>
      <charset val="129"/>
      <scheme val="minor"/>
    </font>
    <font>
      <b/>
      <sz val="12"/>
      <color theme="0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0"/>
      <color theme="0"/>
      <name val="맑은 고딕"/>
      <family val="2"/>
      <charset val="129"/>
      <scheme val="minor"/>
    </font>
    <font>
      <sz val="10"/>
      <color theme="0"/>
      <name val="맑은 고딕"/>
      <family val="3"/>
      <charset val="129"/>
      <scheme val="minor"/>
    </font>
    <font>
      <b/>
      <sz val="12"/>
      <name val="맑은 고딕"/>
      <family val="3"/>
      <charset val="129"/>
      <scheme val="minor"/>
    </font>
    <font>
      <sz val="9"/>
      <color indexed="81"/>
      <name val="MS Gothic"/>
      <family val="3"/>
      <charset val="128"/>
    </font>
    <font>
      <sz val="10"/>
      <name val="맑은 고딕"/>
      <family val="3"/>
      <charset val="129"/>
      <scheme val="minor"/>
    </font>
    <font>
      <sz val="10"/>
      <name val="맑은 고딕"/>
      <family val="2"/>
      <charset val="129"/>
      <scheme val="minor"/>
    </font>
    <font>
      <b/>
      <sz val="10"/>
      <name val="맑은 고딕"/>
      <family val="3"/>
      <charset val="129"/>
      <scheme val="minor"/>
    </font>
    <font>
      <b/>
      <sz val="8"/>
      <name val="맑은 고딕"/>
      <family val="3"/>
      <charset val="129"/>
      <scheme val="minor"/>
    </font>
    <font>
      <b/>
      <sz val="8"/>
      <color indexed="8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b/>
      <sz val="8"/>
      <color theme="0"/>
      <name val="맑은 고딕"/>
      <family val="3"/>
      <charset val="129"/>
      <scheme val="minor"/>
    </font>
    <font>
      <sz val="8"/>
      <color theme="1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sz val="10"/>
      <name val="굴림체"/>
      <family val="3"/>
      <charset val="129"/>
    </font>
  </fonts>
  <fills count="1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0.499984740745262"/>
        <bgColor indexed="64"/>
      </patternFill>
    </fill>
  </fills>
  <borders count="8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5">
    <xf numFmtId="0" fontId="0" fillId="0" borderId="0">
      <alignment vertical="center"/>
    </xf>
    <xf numFmtId="0" fontId="5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0" fillId="0" borderId="0">
      <alignment vertical="center"/>
    </xf>
  </cellStyleXfs>
  <cellXfs count="163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78" fontId="0" fillId="3" borderId="1" xfId="0" applyNumberFormat="1" applyFill="1" applyBorder="1" applyAlignment="1">
      <alignment horizontal="center" vertical="center"/>
    </xf>
    <xf numFmtId="176" fontId="0" fillId="3" borderId="1" xfId="0" applyNumberFormat="1" applyFill="1" applyBorder="1" applyAlignment="1">
      <alignment horizontal="center" vertical="center"/>
    </xf>
    <xf numFmtId="179" fontId="0" fillId="3" borderId="1" xfId="0" applyNumberFormat="1" applyFill="1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3" borderId="52" xfId="0" applyFill="1" applyBorder="1" applyAlignment="1">
      <alignment horizontal="center" vertical="center"/>
    </xf>
    <xf numFmtId="0" fontId="0" fillId="3" borderId="55" xfId="0" applyFill="1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178" fontId="0" fillId="3" borderId="3" xfId="0" applyNumberFormat="1" applyFill="1" applyBorder="1" applyAlignment="1">
      <alignment horizontal="center" vertical="center"/>
    </xf>
    <xf numFmtId="176" fontId="0" fillId="3" borderId="3" xfId="0" applyNumberFormat="1" applyFill="1" applyBorder="1" applyAlignment="1">
      <alignment horizontal="center" vertical="center"/>
    </xf>
    <xf numFmtId="179" fontId="0" fillId="3" borderId="3" xfId="0" applyNumberFormat="1" applyFill="1" applyBorder="1" applyAlignment="1">
      <alignment horizontal="center" vertical="center"/>
    </xf>
    <xf numFmtId="178" fontId="0" fillId="3" borderId="7" xfId="0" applyNumberFormat="1" applyFill="1" applyBorder="1" applyAlignment="1">
      <alignment horizontal="center" vertical="center"/>
    </xf>
    <xf numFmtId="176" fontId="0" fillId="3" borderId="7" xfId="0" applyNumberFormat="1" applyFill="1" applyBorder="1" applyAlignment="1">
      <alignment horizontal="center" vertical="center"/>
    </xf>
    <xf numFmtId="179" fontId="0" fillId="3" borderId="7" xfId="0" applyNumberFormat="1" applyFill="1" applyBorder="1" applyAlignment="1">
      <alignment horizontal="center" vertical="center"/>
    </xf>
    <xf numFmtId="178" fontId="0" fillId="3" borderId="55" xfId="0" applyNumberFormat="1" applyFill="1" applyBorder="1" applyAlignment="1">
      <alignment horizontal="center" vertical="center"/>
    </xf>
    <xf numFmtId="176" fontId="0" fillId="3" borderId="55" xfId="0" applyNumberFormat="1" applyFill="1" applyBorder="1" applyAlignment="1">
      <alignment horizontal="center" vertical="center"/>
    </xf>
    <xf numFmtId="178" fontId="0" fillId="3" borderId="52" xfId="0" applyNumberFormat="1" applyFill="1" applyBorder="1" applyAlignment="1">
      <alignment horizontal="center" vertical="center"/>
    </xf>
    <xf numFmtId="176" fontId="0" fillId="3" borderId="52" xfId="0" applyNumberFormat="1" applyFill="1" applyBorder="1" applyAlignment="1">
      <alignment horizontal="center" vertical="center"/>
    </xf>
    <xf numFmtId="179" fontId="0" fillId="3" borderId="52" xfId="0" applyNumberFormat="1" applyFill="1" applyBorder="1" applyAlignment="1">
      <alignment horizontal="center" vertical="center"/>
    </xf>
    <xf numFmtId="178" fontId="0" fillId="3" borderId="57" xfId="0" applyNumberFormat="1" applyFill="1" applyBorder="1" applyAlignment="1">
      <alignment horizontal="center" vertical="center"/>
    </xf>
    <xf numFmtId="178" fontId="0" fillId="3" borderId="18" xfId="0" applyNumberFormat="1" applyFill="1" applyBorder="1" applyAlignment="1">
      <alignment horizontal="center" vertical="center"/>
    </xf>
    <xf numFmtId="178" fontId="0" fillId="3" borderId="24" xfId="0" applyNumberFormat="1" applyFill="1" applyBorder="1" applyAlignment="1">
      <alignment horizontal="center" vertical="center"/>
    </xf>
    <xf numFmtId="178" fontId="0" fillId="3" borderId="32" xfId="0" applyNumberFormat="1" applyFill="1" applyBorder="1" applyAlignment="1">
      <alignment horizontal="center" vertical="center"/>
    </xf>
    <xf numFmtId="178" fontId="0" fillId="3" borderId="50" xfId="0" applyNumberFormat="1" applyFill="1" applyBorder="1" applyAlignment="1">
      <alignment horizontal="center" vertical="center"/>
    </xf>
    <xf numFmtId="176" fontId="0" fillId="3" borderId="11" xfId="0" applyNumberFormat="1" applyFill="1" applyBorder="1" applyAlignment="1">
      <alignment horizontal="center" vertical="center"/>
    </xf>
    <xf numFmtId="176" fontId="0" fillId="3" borderId="53" xfId="0" applyNumberFormat="1" applyFill="1" applyBorder="1" applyAlignment="1">
      <alignment horizontal="center" vertical="center"/>
    </xf>
    <xf numFmtId="176" fontId="0" fillId="3" borderId="12" xfId="0" applyNumberFormat="1" applyFill="1" applyBorder="1" applyAlignment="1">
      <alignment horizontal="center" vertical="center"/>
    </xf>
    <xf numFmtId="176" fontId="0" fillId="3" borderId="60" xfId="0" applyNumberFormat="1" applyFill="1" applyBorder="1" applyAlignment="1">
      <alignment horizontal="center" vertical="center"/>
    </xf>
    <xf numFmtId="176" fontId="0" fillId="3" borderId="59" xfId="0" applyNumberFormat="1" applyFill="1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0" fillId="0" borderId="64" xfId="0" applyBorder="1" applyAlignment="1">
      <alignment horizontal="center" vertical="center"/>
    </xf>
    <xf numFmtId="0" fontId="0" fillId="3" borderId="61" xfId="0" applyFill="1" applyBorder="1" applyAlignment="1">
      <alignment horizontal="center" vertical="center"/>
    </xf>
    <xf numFmtId="0" fontId="0" fillId="3" borderId="65" xfId="0" applyFill="1" applyBorder="1" applyAlignment="1">
      <alignment horizontal="center" vertical="center"/>
    </xf>
    <xf numFmtId="0" fontId="0" fillId="3" borderId="62" xfId="0" applyFill="1" applyBorder="1" applyAlignment="1">
      <alignment horizontal="center" vertical="center"/>
    </xf>
    <xf numFmtId="0" fontId="0" fillId="3" borderId="63" xfId="0" applyFill="1" applyBorder="1" applyAlignment="1">
      <alignment horizontal="center" vertical="center"/>
    </xf>
    <xf numFmtId="0" fontId="0" fillId="3" borderId="64" xfId="0" applyFill="1" applyBorder="1" applyAlignment="1">
      <alignment horizontal="center" vertical="center"/>
    </xf>
    <xf numFmtId="0" fontId="0" fillId="3" borderId="32" xfId="0" applyFill="1" applyBorder="1" applyAlignment="1">
      <alignment horizontal="center" vertical="center"/>
    </xf>
    <xf numFmtId="0" fontId="0" fillId="3" borderId="50" xfId="0" applyFill="1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53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60" xfId="0" applyFill="1" applyBorder="1" applyAlignment="1">
      <alignment horizontal="center" vertical="center"/>
    </xf>
    <xf numFmtId="0" fontId="0" fillId="3" borderId="59" xfId="0" applyFill="1" applyBorder="1" applyAlignment="1">
      <alignment horizontal="center" vertical="center"/>
    </xf>
    <xf numFmtId="179" fontId="0" fillId="3" borderId="57" xfId="0" applyNumberFormat="1" applyFill="1" applyBorder="1" applyAlignment="1">
      <alignment horizontal="center" vertical="center"/>
    </xf>
    <xf numFmtId="179" fontId="0" fillId="3" borderId="18" xfId="0" applyNumberFormat="1" applyFill="1" applyBorder="1" applyAlignment="1">
      <alignment horizontal="center" vertical="center"/>
    </xf>
    <xf numFmtId="179" fontId="0" fillId="3" borderId="24" xfId="0" applyNumberFormat="1" applyFill="1" applyBorder="1" applyAlignment="1">
      <alignment horizontal="center" vertical="center"/>
    </xf>
    <xf numFmtId="179" fontId="0" fillId="3" borderId="32" xfId="0" applyNumberFormat="1" applyFill="1" applyBorder="1" applyAlignment="1">
      <alignment horizontal="center" vertical="center"/>
    </xf>
    <xf numFmtId="179" fontId="0" fillId="3" borderId="50" xfId="0" applyNumberFormat="1" applyFill="1" applyBorder="1" applyAlignment="1">
      <alignment horizontal="center" vertical="center"/>
    </xf>
    <xf numFmtId="178" fontId="0" fillId="3" borderId="11" xfId="0" applyNumberFormat="1" applyFill="1" applyBorder="1" applyAlignment="1">
      <alignment horizontal="center" vertical="center"/>
    </xf>
    <xf numFmtId="178" fontId="0" fillId="3" borderId="53" xfId="0" applyNumberFormat="1" applyFill="1" applyBorder="1" applyAlignment="1">
      <alignment horizontal="center" vertical="center"/>
    </xf>
    <xf numFmtId="178" fontId="0" fillId="3" borderId="12" xfId="0" applyNumberFormat="1" applyFill="1" applyBorder="1" applyAlignment="1">
      <alignment horizontal="center" vertical="center"/>
    </xf>
    <xf numFmtId="178" fontId="0" fillId="3" borderId="60" xfId="0" applyNumberFormat="1" applyFill="1" applyBorder="1" applyAlignment="1">
      <alignment horizontal="center" vertical="center"/>
    </xf>
    <xf numFmtId="178" fontId="0" fillId="3" borderId="59" xfId="0" applyNumberFormat="1" applyFill="1" applyBorder="1" applyAlignment="1">
      <alignment horizontal="center" vertical="center"/>
    </xf>
    <xf numFmtId="180" fontId="0" fillId="3" borderId="61" xfId="0" applyNumberFormat="1" applyFill="1" applyBorder="1" applyAlignment="1">
      <alignment horizontal="center" vertical="center"/>
    </xf>
    <xf numFmtId="180" fontId="0" fillId="3" borderId="65" xfId="0" applyNumberFormat="1" applyFill="1" applyBorder="1" applyAlignment="1">
      <alignment horizontal="center" vertical="center"/>
    </xf>
    <xf numFmtId="180" fontId="0" fillId="3" borderId="62" xfId="0" applyNumberFormat="1" applyFill="1" applyBorder="1" applyAlignment="1">
      <alignment horizontal="center" vertical="center"/>
    </xf>
    <xf numFmtId="180" fontId="0" fillId="3" borderId="63" xfId="0" applyNumberFormat="1" applyFill="1" applyBorder="1" applyAlignment="1">
      <alignment horizontal="center" vertical="center"/>
    </xf>
    <xf numFmtId="180" fontId="0" fillId="3" borderId="64" xfId="0" applyNumberFormat="1" applyFill="1" applyBorder="1" applyAlignment="1">
      <alignment horizontal="center" vertical="center"/>
    </xf>
    <xf numFmtId="0" fontId="0" fillId="3" borderId="57" xfId="0" applyFill="1" applyBorder="1" applyAlignment="1">
      <alignment horizontal="center" vertical="center"/>
    </xf>
    <xf numFmtId="0" fontId="0" fillId="3" borderId="18" xfId="0" applyFill="1" applyBorder="1" applyAlignment="1">
      <alignment horizontal="center" vertical="center"/>
    </xf>
    <xf numFmtId="0" fontId="0" fillId="3" borderId="24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4" borderId="19" xfId="0" applyFill="1" applyBorder="1" applyAlignment="1">
      <alignment horizontal="center" vertical="center"/>
    </xf>
    <xf numFmtId="0" fontId="0" fillId="4" borderId="45" xfId="0" applyFill="1" applyBorder="1" applyAlignment="1">
      <alignment horizontal="center" vertical="center"/>
    </xf>
    <xf numFmtId="178" fontId="0" fillId="4" borderId="43" xfId="0" applyNumberFormat="1" applyFill="1" applyBorder="1" applyAlignment="1">
      <alignment horizontal="center" vertical="center"/>
    </xf>
    <xf numFmtId="178" fontId="0" fillId="4" borderId="34" xfId="0" applyNumberFormat="1" applyFill="1" applyBorder="1" applyAlignment="1">
      <alignment horizontal="center" vertical="center"/>
    </xf>
    <xf numFmtId="176" fontId="0" fillId="4" borderId="45" xfId="0" applyNumberFormat="1" applyFill="1" applyBorder="1" applyAlignment="1">
      <alignment horizontal="center" vertical="center"/>
    </xf>
    <xf numFmtId="176" fontId="0" fillId="4" borderId="43" xfId="0" applyNumberFormat="1" applyFill="1" applyBorder="1" applyAlignment="1">
      <alignment horizontal="center" vertical="center"/>
    </xf>
    <xf numFmtId="179" fontId="0" fillId="4" borderId="34" xfId="0" applyNumberFormat="1" applyFill="1" applyBorder="1" applyAlignment="1">
      <alignment horizontal="center" vertical="center"/>
    </xf>
    <xf numFmtId="178" fontId="0" fillId="4" borderId="45" xfId="0" applyNumberFormat="1" applyFill="1" applyBorder="1" applyAlignment="1">
      <alignment horizontal="center" vertical="center"/>
    </xf>
    <xf numFmtId="180" fontId="0" fillId="4" borderId="19" xfId="0" applyNumberFormat="1" applyFill="1" applyBorder="1" applyAlignment="1">
      <alignment horizontal="center" vertical="center"/>
    </xf>
    <xf numFmtId="0" fontId="0" fillId="4" borderId="34" xfId="0" applyFill="1" applyBorder="1" applyAlignment="1">
      <alignment horizontal="center" vertical="center"/>
    </xf>
    <xf numFmtId="0" fontId="0" fillId="4" borderId="32" xfId="0" applyFill="1" applyBorder="1" applyAlignment="1">
      <alignment horizontal="center" vertical="center"/>
    </xf>
    <xf numFmtId="0" fontId="0" fillId="4" borderId="63" xfId="0" applyFill="1" applyBorder="1" applyAlignment="1">
      <alignment horizontal="center" vertical="center"/>
    </xf>
    <xf numFmtId="0" fontId="0" fillId="4" borderId="60" xfId="0" applyFill="1" applyBorder="1" applyAlignment="1">
      <alignment horizontal="center" vertical="center"/>
    </xf>
    <xf numFmtId="178" fontId="0" fillId="4" borderId="55" xfId="0" applyNumberFormat="1" applyFill="1" applyBorder="1" applyAlignment="1">
      <alignment horizontal="center" vertical="center"/>
    </xf>
    <xf numFmtId="178" fontId="0" fillId="4" borderId="32" xfId="0" applyNumberFormat="1" applyFill="1" applyBorder="1" applyAlignment="1">
      <alignment horizontal="center" vertical="center"/>
    </xf>
    <xf numFmtId="176" fontId="0" fillId="4" borderId="60" xfId="0" applyNumberFormat="1" applyFill="1" applyBorder="1" applyAlignment="1">
      <alignment horizontal="center" vertical="center"/>
    </xf>
    <xf numFmtId="176" fontId="0" fillId="4" borderId="55" xfId="0" applyNumberFormat="1" applyFill="1" applyBorder="1" applyAlignment="1">
      <alignment horizontal="center" vertical="center"/>
    </xf>
    <xf numFmtId="178" fontId="0" fillId="4" borderId="60" xfId="0" applyNumberFormat="1" applyFill="1" applyBorder="1" applyAlignment="1">
      <alignment horizontal="center" vertical="center"/>
    </xf>
    <xf numFmtId="180" fontId="0" fillId="4" borderId="63" xfId="0" applyNumberFormat="1" applyFill="1" applyBorder="1" applyAlignment="1">
      <alignment horizontal="center" vertical="center"/>
    </xf>
    <xf numFmtId="0" fontId="0" fillId="4" borderId="55" xfId="0" applyFill="1" applyBorder="1" applyAlignment="1">
      <alignment horizontal="center" vertical="center"/>
    </xf>
    <xf numFmtId="0" fontId="0" fillId="4" borderId="50" xfId="0" applyFill="1" applyBorder="1" applyAlignment="1">
      <alignment horizontal="center" vertical="center"/>
    </xf>
    <xf numFmtId="0" fontId="0" fillId="4" borderId="64" xfId="0" applyFill="1" applyBorder="1" applyAlignment="1">
      <alignment horizontal="center" vertical="center"/>
    </xf>
    <xf numFmtId="0" fontId="0" fillId="4" borderId="59" xfId="0" applyFill="1" applyBorder="1" applyAlignment="1">
      <alignment horizontal="center" vertical="center"/>
    </xf>
    <xf numFmtId="178" fontId="0" fillId="4" borderId="52" xfId="0" applyNumberFormat="1" applyFill="1" applyBorder="1" applyAlignment="1">
      <alignment horizontal="center" vertical="center"/>
    </xf>
    <xf numFmtId="178" fontId="0" fillId="4" borderId="50" xfId="0" applyNumberFormat="1" applyFill="1" applyBorder="1" applyAlignment="1">
      <alignment horizontal="center" vertical="center"/>
    </xf>
    <xf numFmtId="176" fontId="0" fillId="4" borderId="59" xfId="0" applyNumberFormat="1" applyFill="1" applyBorder="1" applyAlignment="1">
      <alignment horizontal="center" vertical="center"/>
    </xf>
    <xf numFmtId="176" fontId="0" fillId="4" borderId="52" xfId="0" applyNumberFormat="1" applyFill="1" applyBorder="1" applyAlignment="1">
      <alignment horizontal="center" vertical="center"/>
    </xf>
    <xf numFmtId="178" fontId="0" fillId="4" borderId="59" xfId="0" applyNumberFormat="1" applyFill="1" applyBorder="1" applyAlignment="1">
      <alignment horizontal="center" vertical="center"/>
    </xf>
    <xf numFmtId="180" fontId="0" fillId="4" borderId="64" xfId="0" applyNumberFormat="1" applyFill="1" applyBorder="1" applyAlignment="1">
      <alignment horizontal="center" vertical="center"/>
    </xf>
    <xf numFmtId="0" fontId="0" fillId="4" borderId="52" xfId="0" applyFill="1" applyBorder="1" applyAlignment="1">
      <alignment horizontal="center" vertical="center"/>
    </xf>
    <xf numFmtId="0" fontId="0" fillId="4" borderId="12" xfId="0" applyFill="1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  <xf numFmtId="0" fontId="0" fillId="4" borderId="24" xfId="0" applyFill="1" applyBorder="1" applyAlignment="1">
      <alignment horizontal="center" vertical="center"/>
    </xf>
    <xf numFmtId="179" fontId="0" fillId="4" borderId="52" xfId="0" applyNumberFormat="1" applyFill="1" applyBorder="1" applyAlignment="1">
      <alignment horizontal="center" vertical="center"/>
    </xf>
    <xf numFmtId="179" fontId="0" fillId="4" borderId="50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65" xfId="0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5" borderId="52" xfId="0" applyFill="1" applyBorder="1" applyAlignment="1">
      <alignment horizontal="center" vertical="center"/>
    </xf>
    <xf numFmtId="0" fontId="0" fillId="5" borderId="26" xfId="0" applyFill="1" applyBorder="1" applyAlignment="1">
      <alignment horizontal="center" vertical="center"/>
    </xf>
    <xf numFmtId="0" fontId="0" fillId="5" borderId="20" xfId="0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0" fillId="5" borderId="7" xfId="0" applyFill="1" applyBorder="1" applyAlignment="1">
      <alignment horizontal="center" vertical="center"/>
    </xf>
    <xf numFmtId="179" fontId="0" fillId="4" borderId="55" xfId="0" applyNumberFormat="1" applyFill="1" applyBorder="1" applyAlignment="1">
      <alignment horizontal="center" vertical="center"/>
    </xf>
    <xf numFmtId="0" fontId="0" fillId="5" borderId="61" xfId="0" applyFill="1" applyBorder="1" applyAlignment="1">
      <alignment horizontal="center" vertical="center"/>
    </xf>
    <xf numFmtId="0" fontId="0" fillId="5" borderId="65" xfId="0" applyFill="1" applyBorder="1" applyAlignment="1">
      <alignment horizontal="center" vertical="center"/>
    </xf>
    <xf numFmtId="0" fontId="0" fillId="5" borderId="62" xfId="0" applyFill="1" applyBorder="1" applyAlignment="1">
      <alignment horizontal="center" vertical="center"/>
    </xf>
    <xf numFmtId="0" fontId="0" fillId="5" borderId="63" xfId="0" applyFill="1" applyBorder="1" applyAlignment="1">
      <alignment horizontal="center" vertical="center"/>
    </xf>
    <xf numFmtId="0" fontId="0" fillId="5" borderId="64" xfId="0" applyFill="1" applyBorder="1" applyAlignment="1">
      <alignment horizontal="center" vertical="center"/>
    </xf>
    <xf numFmtId="0" fontId="0" fillId="4" borderId="31" xfId="0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4" borderId="42" xfId="0" applyFill="1" applyBorder="1" applyAlignment="1">
      <alignment horizontal="center" vertical="center"/>
    </xf>
    <xf numFmtId="0" fontId="0" fillId="4" borderId="56" xfId="0" applyFill="1" applyBorder="1" applyAlignment="1">
      <alignment horizontal="center" vertical="center"/>
    </xf>
    <xf numFmtId="0" fontId="0" fillId="4" borderId="58" xfId="0" applyFill="1" applyBorder="1" applyAlignment="1">
      <alignment horizontal="center" vertical="center"/>
    </xf>
    <xf numFmtId="0" fontId="0" fillId="5" borderId="59" xfId="0" applyFill="1" applyBorder="1" applyAlignment="1">
      <alignment horizontal="center" vertical="center"/>
    </xf>
    <xf numFmtId="0" fontId="0" fillId="5" borderId="11" xfId="0" applyFill="1" applyBorder="1" applyAlignment="1">
      <alignment horizontal="center" vertical="center"/>
    </xf>
    <xf numFmtId="0" fontId="0" fillId="5" borderId="53" xfId="0" applyFill="1" applyBorder="1" applyAlignment="1">
      <alignment horizontal="center" vertical="center"/>
    </xf>
    <xf numFmtId="0" fontId="0" fillId="5" borderId="12" xfId="0" applyFill="1" applyBorder="1" applyAlignment="1">
      <alignment horizontal="center" vertical="center"/>
    </xf>
    <xf numFmtId="0" fontId="0" fillId="5" borderId="50" xfId="0" applyFill="1" applyBorder="1" applyAlignment="1">
      <alignment horizontal="center" vertical="center"/>
    </xf>
    <xf numFmtId="0" fontId="0" fillId="5" borderId="57" xfId="0" applyFill="1" applyBorder="1" applyAlignment="1">
      <alignment horizontal="center" vertical="center"/>
    </xf>
    <xf numFmtId="0" fontId="0" fillId="5" borderId="18" xfId="0" applyFill="1" applyBorder="1" applyAlignment="1">
      <alignment horizontal="center" vertical="center"/>
    </xf>
    <xf numFmtId="0" fontId="0" fillId="5" borderId="24" xfId="0" applyFill="1" applyBorder="1" applyAlignment="1">
      <alignment horizontal="center" vertical="center"/>
    </xf>
    <xf numFmtId="0" fontId="0" fillId="5" borderId="54" xfId="0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0" fillId="5" borderId="6" xfId="0" applyFill="1" applyBorder="1" applyAlignment="1">
      <alignment horizontal="center" vertical="center"/>
    </xf>
    <xf numFmtId="0" fontId="0" fillId="5" borderId="8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179" fontId="0" fillId="4" borderId="32" xfId="0" applyNumberFormat="1" applyFill="1" applyBorder="1" applyAlignment="1">
      <alignment horizontal="center" vertical="center"/>
    </xf>
    <xf numFmtId="176" fontId="0" fillId="4" borderId="19" xfId="0" applyNumberFormat="1" applyFill="1" applyBorder="1" applyAlignment="1">
      <alignment horizontal="center" vertical="center"/>
    </xf>
    <xf numFmtId="176" fontId="0" fillId="4" borderId="34" xfId="0" applyNumberFormat="1" applyFill="1" applyBorder="1" applyAlignment="1">
      <alignment horizontal="center" vertical="center"/>
    </xf>
    <xf numFmtId="0" fontId="0" fillId="4" borderId="20" xfId="0" applyFill="1" applyBorder="1" applyAlignment="1">
      <alignment horizontal="center" vertical="center"/>
    </xf>
    <xf numFmtId="178" fontId="0" fillId="4" borderId="56" xfId="0" applyNumberFormat="1" applyFill="1" applyBorder="1" applyAlignment="1">
      <alignment horizontal="center" vertical="center"/>
    </xf>
    <xf numFmtId="178" fontId="0" fillId="4" borderId="58" xfId="0" applyNumberFormat="1" applyFill="1" applyBorder="1" applyAlignment="1">
      <alignment horizontal="center" vertical="center"/>
    </xf>
    <xf numFmtId="176" fontId="0" fillId="4" borderId="42" xfId="0" applyNumberFormat="1" applyFill="1" applyBorder="1" applyAlignment="1">
      <alignment horizontal="center" vertical="center"/>
    </xf>
    <xf numFmtId="176" fontId="0" fillId="4" borderId="56" xfId="0" applyNumberFormat="1" applyFill="1" applyBorder="1" applyAlignment="1">
      <alignment horizontal="center" vertical="center"/>
    </xf>
    <xf numFmtId="179" fontId="0" fillId="4" borderId="58" xfId="0" applyNumberFormat="1" applyFill="1" applyBorder="1" applyAlignment="1">
      <alignment horizontal="center" vertical="center"/>
    </xf>
    <xf numFmtId="178" fontId="0" fillId="4" borderId="42" xfId="0" applyNumberFormat="1" applyFill="1" applyBorder="1" applyAlignment="1">
      <alignment horizontal="center" vertical="center"/>
    </xf>
    <xf numFmtId="180" fontId="0" fillId="4" borderId="20" xfId="0" applyNumberFormat="1" applyFill="1" applyBorder="1" applyAlignment="1">
      <alignment horizontal="center" vertical="center"/>
    </xf>
    <xf numFmtId="0" fontId="0" fillId="6" borderId="43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176" fontId="0" fillId="4" borderId="32" xfId="0" applyNumberFormat="1" applyFill="1" applyBorder="1" applyAlignment="1">
      <alignment horizontal="center" vertical="center"/>
    </xf>
    <xf numFmtId="176" fontId="0" fillId="4" borderId="50" xfId="0" applyNumberFormat="1" applyFill="1" applyBorder="1" applyAlignment="1">
      <alignment horizontal="center" vertical="center"/>
    </xf>
    <xf numFmtId="176" fontId="0" fillId="3" borderId="57" xfId="0" applyNumberFormat="1" applyFill="1" applyBorder="1" applyAlignment="1">
      <alignment horizontal="center" vertical="center"/>
    </xf>
    <xf numFmtId="176" fontId="0" fillId="3" borderId="18" xfId="0" applyNumberFormat="1" applyFill="1" applyBorder="1" applyAlignment="1">
      <alignment horizontal="center" vertical="center"/>
    </xf>
    <xf numFmtId="176" fontId="0" fillId="3" borderId="24" xfId="0" applyNumberFormat="1" applyFill="1" applyBorder="1" applyAlignment="1">
      <alignment horizontal="center" vertical="center"/>
    </xf>
    <xf numFmtId="176" fontId="0" fillId="4" borderId="58" xfId="0" applyNumberFormat="1" applyFill="1" applyBorder="1" applyAlignment="1">
      <alignment horizontal="center" vertical="center"/>
    </xf>
    <xf numFmtId="176" fontId="0" fillId="3" borderId="32" xfId="0" applyNumberFormat="1" applyFill="1" applyBorder="1" applyAlignment="1">
      <alignment horizontal="center" vertical="center"/>
    </xf>
    <xf numFmtId="176" fontId="0" fillId="3" borderId="50" xfId="0" applyNumberFormat="1" applyFill="1" applyBorder="1" applyAlignment="1">
      <alignment horizontal="center" vertical="center"/>
    </xf>
    <xf numFmtId="181" fontId="0" fillId="4" borderId="43" xfId="0" applyNumberFormat="1" applyFill="1" applyBorder="1" applyAlignment="1">
      <alignment horizontal="center" vertical="center"/>
    </xf>
    <xf numFmtId="181" fontId="0" fillId="4" borderId="34" xfId="0" applyNumberFormat="1" applyFill="1" applyBorder="1" applyAlignment="1">
      <alignment horizontal="center" vertical="center"/>
    </xf>
    <xf numFmtId="181" fontId="0" fillId="4" borderId="55" xfId="0" applyNumberFormat="1" applyFill="1" applyBorder="1" applyAlignment="1">
      <alignment horizontal="center" vertical="center"/>
    </xf>
    <xf numFmtId="181" fontId="0" fillId="4" borderId="32" xfId="0" applyNumberFormat="1" applyFill="1" applyBorder="1" applyAlignment="1">
      <alignment horizontal="center" vertical="center"/>
    </xf>
    <xf numFmtId="181" fontId="0" fillId="4" borderId="52" xfId="0" applyNumberFormat="1" applyFill="1" applyBorder="1" applyAlignment="1">
      <alignment horizontal="center" vertical="center"/>
    </xf>
    <xf numFmtId="181" fontId="0" fillId="3" borderId="3" xfId="0" applyNumberFormat="1" applyFill="1" applyBorder="1" applyAlignment="1">
      <alignment horizontal="center" vertical="center"/>
    </xf>
    <xf numFmtId="181" fontId="0" fillId="3" borderId="57" xfId="0" applyNumberFormat="1" applyFill="1" applyBorder="1" applyAlignment="1">
      <alignment horizontal="center" vertical="center"/>
    </xf>
    <xf numFmtId="181" fontId="0" fillId="3" borderId="1" xfId="0" applyNumberFormat="1" applyFill="1" applyBorder="1" applyAlignment="1">
      <alignment horizontal="center" vertical="center"/>
    </xf>
    <xf numFmtId="181" fontId="0" fillId="3" borderId="18" xfId="0" applyNumberFormat="1" applyFill="1" applyBorder="1" applyAlignment="1">
      <alignment horizontal="center" vertical="center"/>
    </xf>
    <xf numFmtId="181" fontId="0" fillId="3" borderId="7" xfId="0" applyNumberFormat="1" applyFill="1" applyBorder="1" applyAlignment="1">
      <alignment horizontal="center" vertical="center"/>
    </xf>
    <xf numFmtId="181" fontId="0" fillId="3" borderId="24" xfId="0" applyNumberFormat="1" applyFill="1" applyBorder="1" applyAlignment="1">
      <alignment horizontal="center" vertical="center"/>
    </xf>
    <xf numFmtId="181" fontId="0" fillId="4" borderId="50" xfId="0" applyNumberFormat="1" applyFill="1" applyBorder="1" applyAlignment="1">
      <alignment horizontal="center" vertical="center"/>
    </xf>
    <xf numFmtId="181" fontId="0" fillId="4" borderId="56" xfId="0" applyNumberFormat="1" applyFill="1" applyBorder="1" applyAlignment="1">
      <alignment horizontal="center" vertical="center"/>
    </xf>
    <xf numFmtId="181" fontId="0" fillId="4" borderId="58" xfId="0" applyNumberFormat="1" applyFill="1" applyBorder="1" applyAlignment="1">
      <alignment horizontal="center" vertical="center"/>
    </xf>
    <xf numFmtId="181" fontId="0" fillId="3" borderId="55" xfId="0" applyNumberFormat="1" applyFill="1" applyBorder="1" applyAlignment="1">
      <alignment horizontal="center" vertical="center"/>
    </xf>
    <xf numFmtId="181" fontId="0" fillId="3" borderId="32" xfId="0" applyNumberFormat="1" applyFill="1" applyBorder="1" applyAlignment="1">
      <alignment horizontal="center" vertical="center"/>
    </xf>
    <xf numFmtId="181" fontId="0" fillId="3" borderId="52" xfId="0" applyNumberFormat="1" applyFill="1" applyBorder="1" applyAlignment="1">
      <alignment horizontal="center" vertical="center"/>
    </xf>
    <xf numFmtId="181" fontId="0" fillId="3" borderId="50" xfId="0" applyNumberFormat="1" applyFill="1" applyBorder="1" applyAlignment="1">
      <alignment horizontal="center" vertical="center"/>
    </xf>
    <xf numFmtId="181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79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4" borderId="43" xfId="0" applyFill="1" applyBorder="1" applyAlignment="1">
      <alignment horizontal="center" vertical="center"/>
    </xf>
    <xf numFmtId="0" fontId="0" fillId="0" borderId="65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176" fontId="0" fillId="5" borderId="11" xfId="0" applyNumberFormat="1" applyFill="1" applyBorder="1" applyAlignment="1">
      <alignment horizontal="center" vertical="center"/>
    </xf>
    <xf numFmtId="0" fontId="16" fillId="4" borderId="19" xfId="0" applyFont="1" applyFill="1" applyBorder="1" applyAlignment="1">
      <alignment horizontal="center" vertical="center"/>
    </xf>
    <xf numFmtId="0" fontId="16" fillId="4" borderId="63" xfId="0" applyFont="1" applyFill="1" applyBorder="1" applyAlignment="1">
      <alignment horizontal="center" vertical="center"/>
    </xf>
    <xf numFmtId="0" fontId="16" fillId="4" borderId="64" xfId="0" applyFont="1" applyFill="1" applyBorder="1" applyAlignment="1">
      <alignment horizontal="center" vertical="center"/>
    </xf>
    <xf numFmtId="0" fontId="16" fillId="3" borderId="61" xfId="0" applyFont="1" applyFill="1" applyBorder="1" applyAlignment="1">
      <alignment horizontal="center" vertical="center"/>
    </xf>
    <xf numFmtId="0" fontId="16" fillId="3" borderId="65" xfId="0" applyFont="1" applyFill="1" applyBorder="1" applyAlignment="1">
      <alignment horizontal="center" vertical="center"/>
    </xf>
    <xf numFmtId="0" fontId="16" fillId="3" borderId="62" xfId="0" applyFont="1" applyFill="1" applyBorder="1" applyAlignment="1">
      <alignment horizontal="center" vertical="center"/>
    </xf>
    <xf numFmtId="0" fontId="16" fillId="4" borderId="20" xfId="0" applyFont="1" applyFill="1" applyBorder="1" applyAlignment="1">
      <alignment horizontal="center" vertical="center"/>
    </xf>
    <xf numFmtId="0" fontId="16" fillId="3" borderId="63" xfId="0" applyFont="1" applyFill="1" applyBorder="1" applyAlignment="1">
      <alignment horizontal="center" vertical="center"/>
    </xf>
    <xf numFmtId="0" fontId="16" fillId="3" borderId="64" xfId="0" applyFont="1" applyFill="1" applyBorder="1" applyAlignment="1">
      <alignment horizontal="center" vertical="center"/>
    </xf>
    <xf numFmtId="0" fontId="16" fillId="3" borderId="65" xfId="0" applyFont="1" applyFill="1" applyBorder="1" applyAlignment="1">
      <alignment horizontal="center" vertical="center" wrapText="1"/>
    </xf>
    <xf numFmtId="0" fontId="16" fillId="10" borderId="19" xfId="0" applyFont="1" applyFill="1" applyBorder="1" applyAlignment="1">
      <alignment horizontal="center" vertical="center"/>
    </xf>
    <xf numFmtId="181" fontId="0" fillId="10" borderId="43" xfId="0" applyNumberFormat="1" applyFill="1" applyBorder="1" applyAlignment="1">
      <alignment horizontal="center" vertical="center"/>
    </xf>
    <xf numFmtId="181" fontId="0" fillId="10" borderId="34" xfId="0" applyNumberFormat="1" applyFill="1" applyBorder="1" applyAlignment="1">
      <alignment horizontal="center" vertical="center"/>
    </xf>
    <xf numFmtId="0" fontId="0" fillId="10" borderId="19" xfId="0" applyFill="1" applyBorder="1" applyAlignment="1">
      <alignment horizontal="center" vertical="center"/>
    </xf>
    <xf numFmtId="176" fontId="0" fillId="10" borderId="45" xfId="0" applyNumberFormat="1" applyFill="1" applyBorder="1" applyAlignment="1">
      <alignment horizontal="center" vertical="center"/>
    </xf>
    <xf numFmtId="176" fontId="0" fillId="10" borderId="43" xfId="0" applyNumberFormat="1" applyFill="1" applyBorder="1" applyAlignment="1">
      <alignment horizontal="center" vertical="center"/>
    </xf>
    <xf numFmtId="179" fontId="0" fillId="10" borderId="34" xfId="0" applyNumberFormat="1" applyFill="1" applyBorder="1" applyAlignment="1">
      <alignment horizontal="center" vertical="center"/>
    </xf>
    <xf numFmtId="178" fontId="0" fillId="10" borderId="45" xfId="0" applyNumberFormat="1" applyFill="1" applyBorder="1" applyAlignment="1">
      <alignment horizontal="center" vertical="center"/>
    </xf>
    <xf numFmtId="178" fontId="0" fillId="10" borderId="43" xfId="0" applyNumberFormat="1" applyFill="1" applyBorder="1" applyAlignment="1">
      <alignment horizontal="center" vertical="center"/>
    </xf>
    <xf numFmtId="178" fontId="0" fillId="10" borderId="34" xfId="0" applyNumberFormat="1" applyFill="1" applyBorder="1" applyAlignment="1">
      <alignment horizontal="center" vertical="center"/>
    </xf>
    <xf numFmtId="180" fontId="0" fillId="10" borderId="19" xfId="0" applyNumberFormat="1" applyFill="1" applyBorder="1" applyAlignment="1">
      <alignment horizontal="center" vertical="center"/>
    </xf>
    <xf numFmtId="0" fontId="0" fillId="10" borderId="45" xfId="0" applyFill="1" applyBorder="1" applyAlignment="1">
      <alignment horizontal="center" vertical="center"/>
    </xf>
    <xf numFmtId="0" fontId="0" fillId="10" borderId="43" xfId="0" applyFill="1" applyBorder="1" applyAlignment="1">
      <alignment horizontal="center" vertical="center"/>
    </xf>
    <xf numFmtId="0" fontId="0" fillId="10" borderId="34" xfId="0" applyFill="1" applyBorder="1" applyAlignment="1">
      <alignment horizontal="center" vertical="center"/>
    </xf>
    <xf numFmtId="176" fontId="0" fillId="10" borderId="34" xfId="0" applyNumberFormat="1" applyFill="1" applyBorder="1" applyAlignment="1">
      <alignment horizontal="center" vertical="center"/>
    </xf>
    <xf numFmtId="181" fontId="0" fillId="11" borderId="1" xfId="0" applyNumberFormat="1" applyFill="1" applyBorder="1" applyAlignment="1">
      <alignment horizontal="center" vertical="center"/>
    </xf>
    <xf numFmtId="181" fontId="0" fillId="11" borderId="18" xfId="0" applyNumberFormat="1" applyFill="1" applyBorder="1" applyAlignment="1">
      <alignment horizontal="center" vertical="center"/>
    </xf>
    <xf numFmtId="0" fontId="0" fillId="11" borderId="65" xfId="0" applyFill="1" applyBorder="1" applyAlignment="1">
      <alignment horizontal="center" vertical="center"/>
    </xf>
    <xf numFmtId="176" fontId="0" fillId="11" borderId="53" xfId="0" applyNumberFormat="1" applyFill="1" applyBorder="1" applyAlignment="1">
      <alignment horizontal="center" vertical="center"/>
    </xf>
    <xf numFmtId="176" fontId="0" fillId="11" borderId="1" xfId="0" applyNumberFormat="1" applyFill="1" applyBorder="1" applyAlignment="1">
      <alignment horizontal="center" vertical="center"/>
    </xf>
    <xf numFmtId="179" fontId="0" fillId="11" borderId="18" xfId="0" applyNumberFormat="1" applyFill="1" applyBorder="1" applyAlignment="1">
      <alignment horizontal="center" vertical="center"/>
    </xf>
    <xf numFmtId="178" fontId="0" fillId="11" borderId="53" xfId="0" applyNumberFormat="1" applyFill="1" applyBorder="1" applyAlignment="1">
      <alignment horizontal="center" vertical="center"/>
    </xf>
    <xf numFmtId="178" fontId="0" fillId="11" borderId="1" xfId="0" applyNumberFormat="1" applyFill="1" applyBorder="1" applyAlignment="1">
      <alignment horizontal="center" vertical="center"/>
    </xf>
    <xf numFmtId="178" fontId="0" fillId="11" borderId="18" xfId="0" applyNumberFormat="1" applyFill="1" applyBorder="1" applyAlignment="1">
      <alignment horizontal="center" vertical="center"/>
    </xf>
    <xf numFmtId="180" fontId="0" fillId="11" borderId="65" xfId="0" applyNumberFormat="1" applyFill="1" applyBorder="1" applyAlignment="1">
      <alignment horizontal="center" vertical="center"/>
    </xf>
    <xf numFmtId="0" fontId="0" fillId="11" borderId="53" xfId="0" applyFill="1" applyBorder="1" applyAlignment="1">
      <alignment horizontal="center" vertical="center"/>
    </xf>
    <xf numFmtId="0" fontId="0" fillId="11" borderId="1" xfId="0" applyFill="1" applyBorder="1" applyAlignment="1">
      <alignment horizontal="center" vertical="center"/>
    </xf>
    <xf numFmtId="0" fontId="0" fillId="11" borderId="18" xfId="0" applyFill="1" applyBorder="1" applyAlignment="1">
      <alignment horizontal="center" vertical="center"/>
    </xf>
    <xf numFmtId="176" fontId="0" fillId="11" borderId="18" xfId="0" applyNumberFormat="1" applyFill="1" applyBorder="1" applyAlignment="1">
      <alignment horizontal="center" vertical="center"/>
    </xf>
    <xf numFmtId="0" fontId="16" fillId="6" borderId="19" xfId="0" applyFont="1" applyFill="1" applyBorder="1" applyAlignment="1">
      <alignment horizontal="center" vertical="center"/>
    </xf>
    <xf numFmtId="181" fontId="0" fillId="6" borderId="43" xfId="0" applyNumberFormat="1" applyFill="1" applyBorder="1" applyAlignment="1">
      <alignment horizontal="center" vertical="center"/>
    </xf>
    <xf numFmtId="176" fontId="0" fillId="6" borderId="19" xfId="0" applyNumberFormat="1" applyFill="1" applyBorder="1" applyAlignment="1">
      <alignment horizontal="center" vertical="center"/>
    </xf>
    <xf numFmtId="176" fontId="0" fillId="6" borderId="45" xfId="0" applyNumberFormat="1" applyFill="1" applyBorder="1" applyAlignment="1">
      <alignment horizontal="center" vertical="center"/>
    </xf>
    <xf numFmtId="176" fontId="0" fillId="6" borderId="43" xfId="0" applyNumberFormat="1" applyFill="1" applyBorder="1" applyAlignment="1">
      <alignment horizontal="center" vertical="center"/>
    </xf>
    <xf numFmtId="176" fontId="0" fillId="6" borderId="34" xfId="0" applyNumberFormat="1" applyFill="1" applyBorder="1" applyAlignment="1">
      <alignment horizontal="center" vertical="center"/>
    </xf>
    <xf numFmtId="0" fontId="0" fillId="6" borderId="19" xfId="0" applyFill="1" applyBorder="1" applyAlignment="1">
      <alignment horizontal="center" vertical="center"/>
    </xf>
    <xf numFmtId="178" fontId="0" fillId="6" borderId="45" xfId="0" applyNumberFormat="1" applyFill="1" applyBorder="1" applyAlignment="1">
      <alignment horizontal="center" vertical="center"/>
    </xf>
    <xf numFmtId="180" fontId="0" fillId="6" borderId="19" xfId="0" applyNumberFormat="1" applyFill="1" applyBorder="1" applyAlignment="1">
      <alignment horizontal="center" vertical="center"/>
    </xf>
    <xf numFmtId="0" fontId="0" fillId="6" borderId="34" xfId="0" applyFill="1" applyBorder="1" applyAlignment="1">
      <alignment horizontal="center" vertical="center"/>
    </xf>
    <xf numFmtId="0" fontId="0" fillId="6" borderId="45" xfId="0" applyFill="1" applyBorder="1" applyAlignment="1">
      <alignment horizontal="center" vertical="center"/>
    </xf>
    <xf numFmtId="176" fontId="0" fillId="10" borderId="19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78" fontId="0" fillId="0" borderId="1" xfId="0" applyNumberFormat="1" applyFill="1" applyBorder="1" applyAlignment="1">
      <alignment horizontal="center" vertical="center"/>
    </xf>
    <xf numFmtId="0" fontId="0" fillId="3" borderId="43" xfId="0" applyFill="1" applyBorder="1" applyAlignment="1">
      <alignment horizontal="center" vertical="center"/>
    </xf>
    <xf numFmtId="181" fontId="0" fillId="5" borderId="3" xfId="0" applyNumberFormat="1" applyFill="1" applyBorder="1" applyAlignment="1">
      <alignment horizontal="center" vertical="center"/>
    </xf>
    <xf numFmtId="176" fontId="0" fillId="5" borderId="3" xfId="0" applyNumberFormat="1" applyFill="1" applyBorder="1" applyAlignment="1">
      <alignment horizontal="center" vertical="center"/>
    </xf>
    <xf numFmtId="179" fontId="0" fillId="5" borderId="3" xfId="0" applyNumberFormat="1" applyFill="1" applyBorder="1" applyAlignment="1">
      <alignment horizontal="center" vertical="center"/>
    </xf>
    <xf numFmtId="178" fontId="0" fillId="5" borderId="3" xfId="0" applyNumberFormat="1" applyFill="1" applyBorder="1" applyAlignment="1">
      <alignment horizontal="center" vertical="center"/>
    </xf>
    <xf numFmtId="181" fontId="0" fillId="5" borderId="1" xfId="0" applyNumberFormat="1" applyFill="1" applyBorder="1" applyAlignment="1">
      <alignment horizontal="center" vertical="center"/>
    </xf>
    <xf numFmtId="176" fontId="0" fillId="5" borderId="1" xfId="0" applyNumberFormat="1" applyFill="1" applyBorder="1" applyAlignment="1">
      <alignment horizontal="center" vertical="center"/>
    </xf>
    <xf numFmtId="179" fontId="0" fillId="5" borderId="1" xfId="0" applyNumberFormat="1" applyFill="1" applyBorder="1" applyAlignment="1">
      <alignment horizontal="center" vertical="center"/>
    </xf>
    <xf numFmtId="178" fontId="0" fillId="5" borderId="1" xfId="0" applyNumberFormat="1" applyFill="1" applyBorder="1" applyAlignment="1">
      <alignment horizontal="center" vertical="center"/>
    </xf>
    <xf numFmtId="181" fontId="0" fillId="5" borderId="7" xfId="0" applyNumberFormat="1" applyFill="1" applyBorder="1" applyAlignment="1">
      <alignment horizontal="center" vertical="center"/>
    </xf>
    <xf numFmtId="176" fontId="0" fillId="5" borderId="7" xfId="0" applyNumberFormat="1" applyFill="1" applyBorder="1" applyAlignment="1">
      <alignment horizontal="center" vertical="center"/>
    </xf>
    <xf numFmtId="179" fontId="0" fillId="5" borderId="7" xfId="0" applyNumberFormat="1" applyFill="1" applyBorder="1" applyAlignment="1">
      <alignment horizontal="center" vertical="center"/>
    </xf>
    <xf numFmtId="178" fontId="0" fillId="5" borderId="7" xfId="0" applyNumberFormat="1" applyFill="1" applyBorder="1" applyAlignment="1">
      <alignment horizontal="center" vertical="center"/>
    </xf>
    <xf numFmtId="0" fontId="16" fillId="5" borderId="61" xfId="0" applyFont="1" applyFill="1" applyBorder="1" applyAlignment="1">
      <alignment horizontal="center" vertical="center"/>
    </xf>
    <xf numFmtId="181" fontId="0" fillId="5" borderId="57" xfId="0" applyNumberFormat="1" applyFill="1" applyBorder="1" applyAlignment="1">
      <alignment horizontal="center" vertical="center"/>
    </xf>
    <xf numFmtId="179" fontId="0" fillId="5" borderId="57" xfId="0" applyNumberFormat="1" applyFill="1" applyBorder="1" applyAlignment="1">
      <alignment horizontal="center" vertical="center"/>
    </xf>
    <xf numFmtId="178" fontId="0" fillId="5" borderId="11" xfId="0" applyNumberFormat="1" applyFill="1" applyBorder="1" applyAlignment="1">
      <alignment horizontal="center" vertical="center"/>
    </xf>
    <xf numFmtId="178" fontId="0" fillId="5" borderId="57" xfId="0" applyNumberFormat="1" applyFill="1" applyBorder="1" applyAlignment="1">
      <alignment horizontal="center" vertical="center"/>
    </xf>
    <xf numFmtId="180" fontId="0" fillId="5" borderId="61" xfId="0" applyNumberFormat="1" applyFill="1" applyBorder="1" applyAlignment="1">
      <alignment horizontal="center" vertical="center"/>
    </xf>
    <xf numFmtId="176" fontId="0" fillId="5" borderId="57" xfId="0" applyNumberFormat="1" applyFill="1" applyBorder="1" applyAlignment="1">
      <alignment horizontal="center" vertical="center"/>
    </xf>
    <xf numFmtId="0" fontId="16" fillId="5" borderId="62" xfId="0" applyFont="1" applyFill="1" applyBorder="1" applyAlignment="1">
      <alignment horizontal="center" vertical="center"/>
    </xf>
    <xf numFmtId="181" fontId="0" fillId="5" borderId="24" xfId="0" applyNumberFormat="1" applyFill="1" applyBorder="1" applyAlignment="1">
      <alignment horizontal="center" vertical="center"/>
    </xf>
    <xf numFmtId="176" fontId="0" fillId="5" borderId="12" xfId="0" applyNumberFormat="1" applyFill="1" applyBorder="1" applyAlignment="1">
      <alignment horizontal="center" vertical="center"/>
    </xf>
    <xf numFmtId="179" fontId="0" fillId="5" borderId="24" xfId="0" applyNumberFormat="1" applyFill="1" applyBorder="1" applyAlignment="1">
      <alignment horizontal="center" vertical="center"/>
    </xf>
    <xf numFmtId="178" fontId="0" fillId="5" borderId="12" xfId="0" applyNumberFormat="1" applyFill="1" applyBorder="1" applyAlignment="1">
      <alignment horizontal="center" vertical="center"/>
    </xf>
    <xf numFmtId="178" fontId="0" fillId="5" borderId="24" xfId="0" applyNumberFormat="1" applyFill="1" applyBorder="1" applyAlignment="1">
      <alignment horizontal="center" vertical="center"/>
    </xf>
    <xf numFmtId="180" fontId="0" fillId="5" borderId="62" xfId="0" applyNumberFormat="1" applyFill="1" applyBorder="1" applyAlignment="1">
      <alignment horizontal="center" vertical="center"/>
    </xf>
    <xf numFmtId="176" fontId="0" fillId="5" borderId="24" xfId="0" applyNumberFormat="1" applyFill="1" applyBorder="1" applyAlignment="1">
      <alignment horizontal="center" vertical="center"/>
    </xf>
    <xf numFmtId="0" fontId="16" fillId="5" borderId="65" xfId="0" applyFont="1" applyFill="1" applyBorder="1" applyAlignment="1">
      <alignment horizontal="center" vertical="center"/>
    </xf>
    <xf numFmtId="181" fontId="0" fillId="5" borderId="18" xfId="0" applyNumberFormat="1" applyFill="1" applyBorder="1" applyAlignment="1">
      <alignment horizontal="center" vertical="center"/>
    </xf>
    <xf numFmtId="176" fontId="0" fillId="5" borderId="53" xfId="0" applyNumberFormat="1" applyFill="1" applyBorder="1" applyAlignment="1">
      <alignment horizontal="center" vertical="center"/>
    </xf>
    <xf numFmtId="179" fontId="0" fillId="5" borderId="18" xfId="0" applyNumberFormat="1" applyFill="1" applyBorder="1" applyAlignment="1">
      <alignment horizontal="center" vertical="center"/>
    </xf>
    <xf numFmtId="178" fontId="0" fillId="5" borderId="53" xfId="0" applyNumberFormat="1" applyFill="1" applyBorder="1" applyAlignment="1">
      <alignment horizontal="center" vertical="center"/>
    </xf>
    <xf numFmtId="178" fontId="0" fillId="5" borderId="18" xfId="0" applyNumberFormat="1" applyFill="1" applyBorder="1" applyAlignment="1">
      <alignment horizontal="center" vertical="center"/>
    </xf>
    <xf numFmtId="180" fontId="0" fillId="5" borderId="65" xfId="0" applyNumberFormat="1" applyFill="1" applyBorder="1" applyAlignment="1">
      <alignment horizontal="center" vertical="center"/>
    </xf>
    <xf numFmtId="176" fontId="0" fillId="5" borderId="18" xfId="0" applyNumberFormat="1" applyFill="1" applyBorder="1" applyAlignment="1">
      <alignment horizontal="center" vertical="center"/>
    </xf>
    <xf numFmtId="178" fontId="0" fillId="6" borderId="43" xfId="0" applyNumberFormat="1" applyFill="1" applyBorder="1" applyAlignment="1">
      <alignment horizontal="center" vertical="center"/>
    </xf>
    <xf numFmtId="0" fontId="0" fillId="6" borderId="32" xfId="0" applyFill="1" applyBorder="1" applyAlignment="1">
      <alignment horizontal="center" vertical="center"/>
    </xf>
    <xf numFmtId="0" fontId="16" fillId="6" borderId="63" xfId="0" applyFont="1" applyFill="1" applyBorder="1" applyAlignment="1">
      <alignment horizontal="center" vertical="center"/>
    </xf>
    <xf numFmtId="181" fontId="0" fillId="6" borderId="55" xfId="0" applyNumberFormat="1" applyFill="1" applyBorder="1" applyAlignment="1">
      <alignment horizontal="center" vertical="center"/>
    </xf>
    <xf numFmtId="181" fontId="0" fillId="6" borderId="32" xfId="0" applyNumberFormat="1" applyFill="1" applyBorder="1" applyAlignment="1">
      <alignment horizontal="center" vertical="center"/>
    </xf>
    <xf numFmtId="0" fontId="0" fillId="6" borderId="63" xfId="0" applyFill="1" applyBorder="1" applyAlignment="1">
      <alignment horizontal="center" vertical="center"/>
    </xf>
    <xf numFmtId="176" fontId="0" fillId="6" borderId="60" xfId="0" applyNumberFormat="1" applyFill="1" applyBorder="1" applyAlignment="1">
      <alignment horizontal="center" vertical="center"/>
    </xf>
    <xf numFmtId="176" fontId="0" fillId="6" borderId="55" xfId="0" applyNumberFormat="1" applyFill="1" applyBorder="1" applyAlignment="1">
      <alignment horizontal="center" vertical="center"/>
    </xf>
    <xf numFmtId="178" fontId="0" fillId="6" borderId="60" xfId="0" applyNumberFormat="1" applyFill="1" applyBorder="1" applyAlignment="1">
      <alignment horizontal="center" vertical="center"/>
    </xf>
    <xf numFmtId="178" fontId="0" fillId="6" borderId="55" xfId="0" applyNumberFormat="1" applyFill="1" applyBorder="1" applyAlignment="1">
      <alignment horizontal="center" vertical="center"/>
    </xf>
    <xf numFmtId="178" fontId="0" fillId="6" borderId="32" xfId="0" applyNumberFormat="1" applyFill="1" applyBorder="1" applyAlignment="1">
      <alignment horizontal="center" vertical="center"/>
    </xf>
    <xf numFmtId="180" fontId="0" fillId="6" borderId="63" xfId="0" applyNumberFormat="1" applyFill="1" applyBorder="1" applyAlignment="1">
      <alignment horizontal="center" vertical="center"/>
    </xf>
    <xf numFmtId="0" fontId="0" fillId="6" borderId="55" xfId="0" applyFill="1" applyBorder="1" applyAlignment="1">
      <alignment horizontal="center" vertical="center"/>
    </xf>
    <xf numFmtId="176" fontId="0" fillId="6" borderId="32" xfId="0" applyNumberFormat="1" applyFill="1" applyBorder="1" applyAlignment="1">
      <alignment horizontal="center" vertical="center"/>
    </xf>
    <xf numFmtId="0" fontId="0" fillId="6" borderId="60" xfId="0" applyFill="1" applyBorder="1" applyAlignment="1">
      <alignment horizontal="center" vertical="center"/>
    </xf>
    <xf numFmtId="0" fontId="0" fillId="6" borderId="50" xfId="0" applyFill="1" applyBorder="1" applyAlignment="1">
      <alignment horizontal="center" vertical="center"/>
    </xf>
    <xf numFmtId="0" fontId="16" fillId="6" borderId="64" xfId="0" applyFont="1" applyFill="1" applyBorder="1" applyAlignment="1">
      <alignment horizontal="center" vertical="center"/>
    </xf>
    <xf numFmtId="181" fontId="0" fillId="6" borderId="52" xfId="0" applyNumberFormat="1" applyFill="1" applyBorder="1" applyAlignment="1">
      <alignment horizontal="center" vertical="center"/>
    </xf>
    <xf numFmtId="0" fontId="0" fillId="6" borderId="64" xfId="0" applyFill="1" applyBorder="1" applyAlignment="1">
      <alignment horizontal="center" vertical="center"/>
    </xf>
    <xf numFmtId="176" fontId="0" fillId="6" borderId="59" xfId="0" applyNumberFormat="1" applyFill="1" applyBorder="1" applyAlignment="1">
      <alignment horizontal="center" vertical="center"/>
    </xf>
    <xf numFmtId="176" fontId="0" fillId="6" borderId="52" xfId="0" applyNumberFormat="1" applyFill="1" applyBorder="1" applyAlignment="1">
      <alignment horizontal="center" vertical="center"/>
    </xf>
    <xf numFmtId="178" fontId="0" fillId="6" borderId="59" xfId="0" applyNumberFormat="1" applyFill="1" applyBorder="1" applyAlignment="1">
      <alignment horizontal="center" vertical="center"/>
    </xf>
    <xf numFmtId="178" fontId="0" fillId="6" borderId="52" xfId="0" applyNumberFormat="1" applyFill="1" applyBorder="1" applyAlignment="1">
      <alignment horizontal="center" vertical="center"/>
    </xf>
    <xf numFmtId="178" fontId="0" fillId="6" borderId="50" xfId="0" applyNumberFormat="1" applyFill="1" applyBorder="1" applyAlignment="1">
      <alignment horizontal="center" vertical="center"/>
    </xf>
    <xf numFmtId="180" fontId="0" fillId="6" borderId="64" xfId="0" applyNumberFormat="1" applyFill="1" applyBorder="1" applyAlignment="1">
      <alignment horizontal="center" vertical="center"/>
    </xf>
    <xf numFmtId="176" fontId="0" fillId="6" borderId="50" xfId="0" applyNumberFormat="1" applyFill="1" applyBorder="1" applyAlignment="1">
      <alignment horizontal="center" vertical="center"/>
    </xf>
    <xf numFmtId="0" fontId="0" fillId="6" borderId="59" xfId="0" applyFill="1" applyBorder="1" applyAlignment="1">
      <alignment horizontal="center" vertical="center"/>
    </xf>
    <xf numFmtId="0" fontId="0" fillId="6" borderId="52" xfId="0" applyFill="1" applyBorder="1" applyAlignment="1">
      <alignment horizontal="center" vertical="center"/>
    </xf>
    <xf numFmtId="178" fontId="0" fillId="0" borderId="60" xfId="0" applyNumberFormat="1" applyFill="1" applyBorder="1" applyAlignment="1">
      <alignment horizontal="center" vertical="center"/>
    </xf>
    <xf numFmtId="178" fontId="0" fillId="0" borderId="55" xfId="0" applyNumberFormat="1" applyFill="1" applyBorder="1" applyAlignment="1">
      <alignment horizontal="center" vertical="center"/>
    </xf>
    <xf numFmtId="178" fontId="0" fillId="0" borderId="32" xfId="0" applyNumberFormat="1" applyFill="1" applyBorder="1" applyAlignment="1">
      <alignment horizontal="center" vertical="center"/>
    </xf>
    <xf numFmtId="180" fontId="0" fillId="0" borderId="63" xfId="0" applyNumberFormat="1" applyFill="1" applyBorder="1" applyAlignment="1">
      <alignment horizontal="center" vertical="center"/>
    </xf>
    <xf numFmtId="0" fontId="0" fillId="0" borderId="55" xfId="0" applyFill="1" applyBorder="1" applyAlignment="1">
      <alignment horizontal="center" vertical="center"/>
    </xf>
    <xf numFmtId="0" fontId="0" fillId="0" borderId="32" xfId="0" applyFill="1" applyBorder="1" applyAlignment="1">
      <alignment horizontal="center" vertical="center"/>
    </xf>
    <xf numFmtId="0" fontId="0" fillId="0" borderId="63" xfId="0" applyFill="1" applyBorder="1" applyAlignment="1">
      <alignment horizontal="center" vertical="center"/>
    </xf>
    <xf numFmtId="0" fontId="0" fillId="0" borderId="60" xfId="0" applyFill="1" applyBorder="1" applyAlignment="1">
      <alignment horizontal="center" vertical="center"/>
    </xf>
    <xf numFmtId="178" fontId="0" fillId="0" borderId="53" xfId="0" applyNumberFormat="1" applyFill="1" applyBorder="1" applyAlignment="1">
      <alignment horizontal="center" vertical="center"/>
    </xf>
    <xf numFmtId="178" fontId="0" fillId="0" borderId="18" xfId="0" applyNumberFormat="1" applyFill="1" applyBorder="1" applyAlignment="1">
      <alignment horizontal="center" vertical="center"/>
    </xf>
    <xf numFmtId="180" fontId="0" fillId="0" borderId="65" xfId="0" applyNumberFormat="1" applyFill="1" applyBorder="1" applyAlignment="1">
      <alignment horizontal="center" vertical="center"/>
    </xf>
    <xf numFmtId="0" fontId="0" fillId="0" borderId="53" xfId="0" applyFill="1" applyBorder="1" applyAlignment="1">
      <alignment horizontal="center" vertical="center"/>
    </xf>
    <xf numFmtId="0" fontId="0" fillId="0" borderId="18" xfId="0" applyFill="1" applyBorder="1" applyAlignment="1">
      <alignment horizontal="center" vertical="center"/>
    </xf>
    <xf numFmtId="0" fontId="0" fillId="0" borderId="65" xfId="0" applyFill="1" applyBorder="1" applyAlignment="1">
      <alignment horizontal="center" vertical="center"/>
    </xf>
    <xf numFmtId="0" fontId="16" fillId="3" borderId="19" xfId="0" applyFont="1" applyFill="1" applyBorder="1" applyAlignment="1">
      <alignment horizontal="center" vertical="center"/>
    </xf>
    <xf numFmtId="181" fontId="0" fillId="3" borderId="43" xfId="0" applyNumberFormat="1" applyFill="1" applyBorder="1" applyAlignment="1">
      <alignment horizontal="center" vertical="center"/>
    </xf>
    <xf numFmtId="176" fontId="0" fillId="3" borderId="19" xfId="0" applyNumberFormat="1" applyFill="1" applyBorder="1" applyAlignment="1">
      <alignment horizontal="center" vertical="center"/>
    </xf>
    <xf numFmtId="176" fontId="0" fillId="3" borderId="45" xfId="0" applyNumberFormat="1" applyFill="1" applyBorder="1" applyAlignment="1">
      <alignment horizontal="center" vertical="center"/>
    </xf>
    <xf numFmtId="176" fontId="0" fillId="3" borderId="43" xfId="0" applyNumberFormat="1" applyFill="1" applyBorder="1" applyAlignment="1">
      <alignment horizontal="center" vertical="center"/>
    </xf>
    <xf numFmtId="181" fontId="0" fillId="3" borderId="34" xfId="0" applyNumberFormat="1" applyFill="1" applyBorder="1" applyAlignment="1">
      <alignment horizontal="center" vertical="center"/>
    </xf>
    <xf numFmtId="0" fontId="0" fillId="3" borderId="19" xfId="0" applyFill="1" applyBorder="1" applyAlignment="1">
      <alignment horizontal="center" vertical="center"/>
    </xf>
    <xf numFmtId="179" fontId="0" fillId="3" borderId="34" xfId="0" applyNumberFormat="1" applyFill="1" applyBorder="1" applyAlignment="1">
      <alignment horizontal="center" vertical="center"/>
    </xf>
    <xf numFmtId="178" fontId="0" fillId="3" borderId="45" xfId="0" applyNumberFormat="1" applyFill="1" applyBorder="1" applyAlignment="1">
      <alignment horizontal="center" vertical="center"/>
    </xf>
    <xf numFmtId="178" fontId="0" fillId="3" borderId="43" xfId="0" applyNumberFormat="1" applyFill="1" applyBorder="1" applyAlignment="1">
      <alignment horizontal="center" vertical="center"/>
    </xf>
    <xf numFmtId="178" fontId="0" fillId="3" borderId="34" xfId="0" applyNumberFormat="1" applyFill="1" applyBorder="1" applyAlignment="1">
      <alignment horizontal="center" vertical="center"/>
    </xf>
    <xf numFmtId="180" fontId="0" fillId="3" borderId="19" xfId="0" applyNumberFormat="1" applyFill="1" applyBorder="1" applyAlignment="1">
      <alignment horizontal="center" vertical="center"/>
    </xf>
    <xf numFmtId="0" fontId="0" fillId="3" borderId="45" xfId="0" applyFill="1" applyBorder="1" applyAlignment="1">
      <alignment horizontal="center" vertical="center"/>
    </xf>
    <xf numFmtId="0" fontId="0" fillId="3" borderId="34" xfId="0" applyFill="1" applyBorder="1" applyAlignment="1">
      <alignment horizontal="center" vertical="center"/>
    </xf>
    <xf numFmtId="176" fontId="0" fillId="3" borderId="34" xfId="0" applyNumberFormat="1" applyFill="1" applyBorder="1" applyAlignment="1">
      <alignment horizontal="center" vertical="center"/>
    </xf>
    <xf numFmtId="181" fontId="0" fillId="6" borderId="34" xfId="0" applyNumberFormat="1" applyFill="1" applyBorder="1" applyAlignment="1">
      <alignment horizontal="center" vertical="center"/>
    </xf>
    <xf numFmtId="179" fontId="0" fillId="6" borderId="34" xfId="0" applyNumberFormat="1" applyFill="1" applyBorder="1" applyAlignment="1">
      <alignment horizontal="center" vertical="center"/>
    </xf>
    <xf numFmtId="178" fontId="0" fillId="6" borderId="34" xfId="0" applyNumberFormat="1" applyFill="1" applyBorder="1" applyAlignment="1">
      <alignment horizontal="center" vertical="center"/>
    </xf>
    <xf numFmtId="0" fontId="0" fillId="3" borderId="58" xfId="0" applyFill="1" applyBorder="1" applyAlignment="1">
      <alignment horizontal="center" vertical="center"/>
    </xf>
    <xf numFmtId="0" fontId="16" fillId="3" borderId="20" xfId="0" applyFont="1" applyFill="1" applyBorder="1" applyAlignment="1">
      <alignment horizontal="center" vertical="center"/>
    </xf>
    <xf numFmtId="181" fontId="0" fillId="3" borderId="56" xfId="0" applyNumberFormat="1" applyFill="1" applyBorder="1" applyAlignment="1">
      <alignment horizontal="center" vertical="center"/>
    </xf>
    <xf numFmtId="181" fontId="0" fillId="3" borderId="58" xfId="0" applyNumberFormat="1" applyFill="1" applyBorder="1" applyAlignment="1">
      <alignment horizontal="center" vertical="center"/>
    </xf>
    <xf numFmtId="0" fontId="0" fillId="3" borderId="20" xfId="0" applyFill="1" applyBorder="1" applyAlignment="1">
      <alignment horizontal="center" vertical="center"/>
    </xf>
    <xf numFmtId="176" fontId="0" fillId="3" borderId="42" xfId="0" applyNumberFormat="1" applyFill="1" applyBorder="1" applyAlignment="1">
      <alignment horizontal="center" vertical="center"/>
    </xf>
    <xf numFmtId="176" fontId="0" fillId="3" borderId="56" xfId="0" applyNumberFormat="1" applyFill="1" applyBorder="1" applyAlignment="1">
      <alignment horizontal="center" vertical="center"/>
    </xf>
    <xf numFmtId="178" fontId="0" fillId="3" borderId="42" xfId="0" applyNumberFormat="1" applyFill="1" applyBorder="1" applyAlignment="1">
      <alignment horizontal="center" vertical="center"/>
    </xf>
    <xf numFmtId="178" fontId="0" fillId="3" borderId="56" xfId="0" applyNumberFormat="1" applyFill="1" applyBorder="1" applyAlignment="1">
      <alignment horizontal="center" vertical="center"/>
    </xf>
    <xf numFmtId="178" fontId="0" fillId="3" borderId="58" xfId="0" applyNumberFormat="1" applyFill="1" applyBorder="1" applyAlignment="1">
      <alignment horizontal="center" vertical="center"/>
    </xf>
    <xf numFmtId="180" fontId="0" fillId="3" borderId="20" xfId="0" applyNumberFormat="1" applyFill="1" applyBorder="1" applyAlignment="1">
      <alignment horizontal="center" vertical="center"/>
    </xf>
    <xf numFmtId="0" fontId="0" fillId="3" borderId="42" xfId="0" applyFill="1" applyBorder="1" applyAlignment="1">
      <alignment horizontal="center" vertical="center"/>
    </xf>
    <xf numFmtId="0" fontId="0" fillId="3" borderId="56" xfId="0" applyFill="1" applyBorder="1" applyAlignment="1">
      <alignment horizontal="center" vertical="center"/>
    </xf>
    <xf numFmtId="176" fontId="0" fillId="3" borderId="58" xfId="0" applyNumberFormat="1" applyFill="1" applyBorder="1" applyAlignment="1">
      <alignment horizontal="center" vertical="center"/>
    </xf>
    <xf numFmtId="0" fontId="0" fillId="5" borderId="58" xfId="0" applyFill="1" applyBorder="1" applyAlignment="1">
      <alignment horizontal="center" vertical="center"/>
    </xf>
    <xf numFmtId="0" fontId="16" fillId="5" borderId="20" xfId="0" applyFont="1" applyFill="1" applyBorder="1" applyAlignment="1">
      <alignment horizontal="center" vertical="center"/>
    </xf>
    <xf numFmtId="181" fontId="0" fillId="5" borderId="56" xfId="0" applyNumberFormat="1" applyFill="1" applyBorder="1" applyAlignment="1">
      <alignment horizontal="center" vertical="center"/>
    </xf>
    <xf numFmtId="181" fontId="0" fillId="5" borderId="58" xfId="0" applyNumberFormat="1" applyFill="1" applyBorder="1" applyAlignment="1">
      <alignment horizontal="center" vertical="center"/>
    </xf>
    <xf numFmtId="176" fontId="0" fillId="5" borderId="42" xfId="0" applyNumberFormat="1" applyFill="1" applyBorder="1" applyAlignment="1">
      <alignment horizontal="center" vertical="center"/>
    </xf>
    <xf numFmtId="176" fontId="0" fillId="5" borderId="56" xfId="0" applyNumberFormat="1" applyFill="1" applyBorder="1" applyAlignment="1">
      <alignment horizontal="center" vertical="center"/>
    </xf>
    <xf numFmtId="178" fontId="0" fillId="5" borderId="42" xfId="0" applyNumberFormat="1" applyFill="1" applyBorder="1" applyAlignment="1">
      <alignment horizontal="center" vertical="center"/>
    </xf>
    <xf numFmtId="178" fontId="0" fillId="5" borderId="56" xfId="0" applyNumberFormat="1" applyFill="1" applyBorder="1" applyAlignment="1">
      <alignment horizontal="center" vertical="center"/>
    </xf>
    <xf numFmtId="178" fontId="0" fillId="5" borderId="58" xfId="0" applyNumberFormat="1" applyFill="1" applyBorder="1" applyAlignment="1">
      <alignment horizontal="center" vertical="center"/>
    </xf>
    <xf numFmtId="180" fontId="0" fillId="5" borderId="20" xfId="0" applyNumberFormat="1" applyFill="1" applyBorder="1" applyAlignment="1">
      <alignment horizontal="center" vertical="center"/>
    </xf>
    <xf numFmtId="0" fontId="0" fillId="5" borderId="42" xfId="0" applyFill="1" applyBorder="1" applyAlignment="1">
      <alignment horizontal="center" vertical="center"/>
    </xf>
    <xf numFmtId="0" fontId="0" fillId="5" borderId="56" xfId="0" applyFill="1" applyBorder="1" applyAlignment="1">
      <alignment horizontal="center" vertical="center"/>
    </xf>
    <xf numFmtId="176" fontId="0" fillId="5" borderId="58" xfId="0" applyNumberFormat="1" applyFill="1" applyBorder="1" applyAlignment="1">
      <alignment horizontal="center" vertical="center"/>
    </xf>
    <xf numFmtId="181" fontId="0" fillId="6" borderId="50" xfId="0" applyNumberFormat="1" applyFill="1" applyBorder="1" applyAlignment="1">
      <alignment horizontal="center" vertical="center"/>
    </xf>
    <xf numFmtId="179" fontId="0" fillId="6" borderId="50" xfId="0" applyNumberFormat="1" applyFill="1" applyBorder="1" applyAlignment="1">
      <alignment horizontal="center" vertical="center"/>
    </xf>
    <xf numFmtId="0" fontId="0" fillId="11" borderId="43" xfId="0" applyFill="1" applyBorder="1" applyAlignment="1">
      <alignment horizontal="center" vertical="center"/>
    </xf>
    <xf numFmtId="0" fontId="16" fillId="11" borderId="64" xfId="0" applyFont="1" applyFill="1" applyBorder="1" applyAlignment="1">
      <alignment horizontal="center" vertical="center"/>
    </xf>
    <xf numFmtId="181" fontId="0" fillId="11" borderId="52" xfId="0" applyNumberFormat="1" applyFill="1" applyBorder="1" applyAlignment="1">
      <alignment horizontal="center" vertical="center"/>
    </xf>
    <xf numFmtId="0" fontId="0" fillId="11" borderId="64" xfId="0" applyFill="1" applyBorder="1" applyAlignment="1">
      <alignment horizontal="center" vertical="center"/>
    </xf>
    <xf numFmtId="176" fontId="0" fillId="11" borderId="59" xfId="0" applyNumberFormat="1" applyFill="1" applyBorder="1" applyAlignment="1">
      <alignment horizontal="center" vertical="center"/>
    </xf>
    <xf numFmtId="176" fontId="0" fillId="11" borderId="52" xfId="0" applyNumberFormat="1" applyFill="1" applyBorder="1" applyAlignment="1">
      <alignment horizontal="center" vertical="center"/>
    </xf>
    <xf numFmtId="179" fontId="0" fillId="11" borderId="50" xfId="0" applyNumberFormat="1" applyFill="1" applyBorder="1" applyAlignment="1">
      <alignment horizontal="center" vertical="center"/>
    </xf>
    <xf numFmtId="178" fontId="0" fillId="11" borderId="59" xfId="0" applyNumberFormat="1" applyFill="1" applyBorder="1" applyAlignment="1">
      <alignment horizontal="center" vertical="center"/>
    </xf>
    <xf numFmtId="178" fontId="0" fillId="11" borderId="52" xfId="0" applyNumberFormat="1" applyFill="1" applyBorder="1" applyAlignment="1">
      <alignment horizontal="center" vertical="center"/>
    </xf>
    <xf numFmtId="178" fontId="0" fillId="11" borderId="50" xfId="0" applyNumberFormat="1" applyFill="1" applyBorder="1" applyAlignment="1">
      <alignment horizontal="center" vertical="center"/>
    </xf>
    <xf numFmtId="180" fontId="0" fillId="11" borderId="64" xfId="0" applyNumberFormat="1" applyFill="1" applyBorder="1" applyAlignment="1">
      <alignment horizontal="center" vertical="center"/>
    </xf>
    <xf numFmtId="0" fontId="0" fillId="11" borderId="52" xfId="0" applyFill="1" applyBorder="1" applyAlignment="1">
      <alignment horizontal="center" vertical="center"/>
    </xf>
    <xf numFmtId="0" fontId="0" fillId="11" borderId="50" xfId="0" applyFill="1" applyBorder="1" applyAlignment="1">
      <alignment horizontal="center" vertical="center"/>
    </xf>
    <xf numFmtId="176" fontId="0" fillId="11" borderId="50" xfId="0" applyNumberFormat="1" applyFill="1" applyBorder="1" applyAlignment="1">
      <alignment horizontal="center" vertical="center"/>
    </xf>
    <xf numFmtId="0" fontId="0" fillId="11" borderId="59" xfId="0" applyFill="1" applyBorder="1" applyAlignment="1">
      <alignment horizontal="center" vertical="center"/>
    </xf>
    <xf numFmtId="179" fontId="0" fillId="3" borderId="55" xfId="0" applyNumberFormat="1" applyFill="1" applyBorder="1" applyAlignment="1">
      <alignment horizontal="center" vertical="center"/>
    </xf>
    <xf numFmtId="179" fontId="0" fillId="3" borderId="43" xfId="0" applyNumberFormat="1" applyFill="1" applyBorder="1" applyAlignment="1">
      <alignment horizontal="center" vertical="center"/>
    </xf>
    <xf numFmtId="179" fontId="0" fillId="3" borderId="56" xfId="0" applyNumberFormat="1" applyFill="1" applyBorder="1" applyAlignment="1">
      <alignment horizontal="center" vertical="center"/>
    </xf>
    <xf numFmtId="181" fontId="0" fillId="11" borderId="43" xfId="0" applyNumberFormat="1" applyFill="1" applyBorder="1" applyAlignment="1">
      <alignment horizontal="center" vertical="center"/>
    </xf>
    <xf numFmtId="176" fontId="0" fillId="11" borderId="43" xfId="0" applyNumberFormat="1" applyFill="1" applyBorder="1" applyAlignment="1">
      <alignment horizontal="center" vertical="center"/>
    </xf>
    <xf numFmtId="178" fontId="0" fillId="11" borderId="43" xfId="0" applyNumberFormat="1" applyFill="1" applyBorder="1" applyAlignment="1">
      <alignment horizontal="center" vertical="center"/>
    </xf>
    <xf numFmtId="179" fontId="0" fillId="6" borderId="43" xfId="0" applyNumberFormat="1" applyFill="1" applyBorder="1" applyAlignment="1">
      <alignment horizontal="center" vertical="center"/>
    </xf>
    <xf numFmtId="0" fontId="0" fillId="11" borderId="56" xfId="0" applyFill="1" applyBorder="1" applyAlignment="1">
      <alignment horizontal="center" vertical="center"/>
    </xf>
    <xf numFmtId="181" fontId="0" fillId="11" borderId="56" xfId="0" applyNumberFormat="1" applyFill="1" applyBorder="1" applyAlignment="1">
      <alignment horizontal="center" vertical="center"/>
    </xf>
    <xf numFmtId="176" fontId="0" fillId="11" borderId="56" xfId="0" applyNumberFormat="1" applyFill="1" applyBorder="1" applyAlignment="1">
      <alignment horizontal="center" vertical="center"/>
    </xf>
    <xf numFmtId="178" fontId="0" fillId="11" borderId="56" xfId="0" applyNumberFormat="1" applyFill="1" applyBorder="1" applyAlignment="1">
      <alignment horizontal="center" vertical="center"/>
    </xf>
    <xf numFmtId="179" fontId="0" fillId="5" borderId="56" xfId="0" applyNumberFormat="1" applyFill="1" applyBorder="1" applyAlignment="1">
      <alignment horizontal="center" vertical="center"/>
    </xf>
    <xf numFmtId="0" fontId="0" fillId="11" borderId="58" xfId="0" applyFill="1" applyBorder="1" applyAlignment="1">
      <alignment horizontal="center" vertical="center"/>
    </xf>
    <xf numFmtId="0" fontId="16" fillId="3" borderId="63" xfId="0" applyFont="1" applyFill="1" applyBorder="1" applyAlignment="1">
      <alignment horizontal="center" vertical="center" wrapText="1"/>
    </xf>
    <xf numFmtId="0" fontId="16" fillId="11" borderId="19" xfId="0" applyFont="1" applyFill="1" applyBorder="1" applyAlignment="1">
      <alignment horizontal="center" vertical="center"/>
    </xf>
    <xf numFmtId="0" fontId="16" fillId="11" borderId="20" xfId="0" applyFont="1" applyFill="1" applyBorder="1" applyAlignment="1">
      <alignment horizontal="center" vertical="center"/>
    </xf>
    <xf numFmtId="0" fontId="16" fillId="0" borderId="65" xfId="0" applyFont="1" applyBorder="1" applyAlignment="1">
      <alignment horizontal="center" vertical="center"/>
    </xf>
    <xf numFmtId="181" fontId="0" fillId="6" borderId="45" xfId="0" applyNumberFormat="1" applyFill="1" applyBorder="1" applyAlignment="1">
      <alignment horizontal="center" vertical="center"/>
    </xf>
    <xf numFmtId="181" fontId="0" fillId="4" borderId="42" xfId="0" applyNumberFormat="1" applyFill="1" applyBorder="1" applyAlignment="1">
      <alignment horizontal="center" vertical="center"/>
    </xf>
    <xf numFmtId="181" fontId="0" fillId="10" borderId="45" xfId="0" applyNumberFormat="1" applyFill="1" applyBorder="1" applyAlignment="1">
      <alignment horizontal="center" vertical="center"/>
    </xf>
    <xf numFmtId="181" fontId="0" fillId="6" borderId="60" xfId="0" applyNumberFormat="1" applyFill="1" applyBorder="1" applyAlignment="1">
      <alignment horizontal="center" vertical="center"/>
    </xf>
    <xf numFmtId="181" fontId="0" fillId="6" borderId="59" xfId="0" applyNumberFormat="1" applyFill="1" applyBorder="1" applyAlignment="1">
      <alignment horizontal="center" vertical="center"/>
    </xf>
    <xf numFmtId="181" fontId="0" fillId="3" borderId="11" xfId="0" applyNumberFormat="1" applyFill="1" applyBorder="1" applyAlignment="1">
      <alignment horizontal="center" vertical="center"/>
    </xf>
    <xf numFmtId="181" fontId="0" fillId="3" borderId="53" xfId="0" applyNumberFormat="1" applyFill="1" applyBorder="1" applyAlignment="1">
      <alignment horizontal="center" vertical="center"/>
    </xf>
    <xf numFmtId="181" fontId="0" fillId="3" borderId="12" xfId="0" applyNumberFormat="1" applyFill="1" applyBorder="1" applyAlignment="1">
      <alignment horizontal="center" vertical="center"/>
    </xf>
    <xf numFmtId="181" fontId="0" fillId="4" borderId="60" xfId="0" applyNumberFormat="1" applyFill="1" applyBorder="1" applyAlignment="1">
      <alignment horizontal="center" vertical="center"/>
    </xf>
    <xf numFmtId="181" fontId="0" fillId="4" borderId="59" xfId="0" applyNumberFormat="1" applyFill="1" applyBorder="1" applyAlignment="1">
      <alignment horizontal="center" vertical="center"/>
    </xf>
    <xf numFmtId="181" fontId="0" fillId="5" borderId="11" xfId="0" applyNumberFormat="1" applyFill="1" applyBorder="1" applyAlignment="1">
      <alignment horizontal="center" vertical="center"/>
    </xf>
    <xf numFmtId="181" fontId="0" fillId="5" borderId="12" xfId="0" applyNumberFormat="1" applyFill="1" applyBorder="1" applyAlignment="1">
      <alignment horizontal="center" vertical="center"/>
    </xf>
    <xf numFmtId="181" fontId="0" fillId="5" borderId="42" xfId="0" applyNumberFormat="1" applyFill="1" applyBorder="1" applyAlignment="1">
      <alignment horizontal="center" vertical="center"/>
    </xf>
    <xf numFmtId="181" fontId="0" fillId="4" borderId="45" xfId="0" applyNumberFormat="1" applyFill="1" applyBorder="1" applyAlignment="1">
      <alignment horizontal="center" vertical="center"/>
    </xf>
    <xf numFmtId="181" fontId="0" fillId="3" borderId="60" xfId="0" applyNumberFormat="1" applyFill="1" applyBorder="1" applyAlignment="1">
      <alignment horizontal="center" vertical="center"/>
    </xf>
    <xf numFmtId="181" fontId="0" fillId="3" borderId="59" xfId="0" applyNumberFormat="1" applyFill="1" applyBorder="1" applyAlignment="1">
      <alignment horizontal="center" vertical="center"/>
    </xf>
    <xf numFmtId="181" fontId="0" fillId="3" borderId="45" xfId="0" applyNumberFormat="1" applyFill="1" applyBorder="1" applyAlignment="1">
      <alignment horizontal="center" vertical="center"/>
    </xf>
    <xf numFmtId="181" fontId="0" fillId="3" borderId="42" xfId="0" applyNumberFormat="1" applyFill="1" applyBorder="1" applyAlignment="1">
      <alignment horizontal="center" vertical="center"/>
    </xf>
    <xf numFmtId="181" fontId="0" fillId="11" borderId="59" xfId="0" applyNumberFormat="1" applyFill="1" applyBorder="1" applyAlignment="1">
      <alignment horizontal="center" vertical="center"/>
    </xf>
    <xf numFmtId="181" fontId="0" fillId="11" borderId="53" xfId="0" applyNumberFormat="1" applyFill="1" applyBorder="1" applyAlignment="1">
      <alignment horizontal="center" vertical="center"/>
    </xf>
    <xf numFmtId="181" fontId="0" fillId="5" borderId="53" xfId="0" applyNumberFormat="1" applyFill="1" applyBorder="1" applyAlignment="1">
      <alignment horizontal="center" vertical="center"/>
    </xf>
    <xf numFmtId="181" fontId="0" fillId="11" borderId="45" xfId="0" applyNumberFormat="1" applyFill="1" applyBorder="1" applyAlignment="1">
      <alignment horizontal="center" vertical="center"/>
    </xf>
    <xf numFmtId="181" fontId="0" fillId="11" borderId="42" xfId="0" applyNumberFormat="1" applyFill="1" applyBorder="1" applyAlignment="1">
      <alignment horizontal="center" vertical="center"/>
    </xf>
    <xf numFmtId="181" fontId="0" fillId="0" borderId="53" xfId="0" applyNumberFormat="1" applyBorder="1" applyAlignment="1">
      <alignment horizontal="center" vertical="center"/>
    </xf>
    <xf numFmtId="182" fontId="0" fillId="6" borderId="19" xfId="0" applyNumberFormat="1" applyFill="1" applyBorder="1" applyAlignment="1">
      <alignment horizontal="center" vertical="center"/>
    </xf>
    <xf numFmtId="182" fontId="0" fillId="4" borderId="20" xfId="0" applyNumberFormat="1" applyFill="1" applyBorder="1" applyAlignment="1">
      <alignment horizontal="center" vertical="center"/>
    </xf>
    <xf numFmtId="182" fontId="0" fillId="10" borderId="19" xfId="0" applyNumberFormat="1" applyFill="1" applyBorder="1" applyAlignment="1">
      <alignment horizontal="center" vertical="center"/>
    </xf>
    <xf numFmtId="182" fontId="0" fillId="6" borderId="63" xfId="0" applyNumberFormat="1" applyFill="1" applyBorder="1" applyAlignment="1">
      <alignment horizontal="center" vertical="center"/>
    </xf>
    <xf numFmtId="182" fontId="0" fillId="6" borderId="64" xfId="0" applyNumberFormat="1" applyFill="1" applyBorder="1" applyAlignment="1">
      <alignment horizontal="center" vertical="center"/>
    </xf>
    <xf numFmtId="182" fontId="0" fillId="3" borderId="61" xfId="0" applyNumberFormat="1" applyFill="1" applyBorder="1" applyAlignment="1">
      <alignment horizontal="center" vertical="center"/>
    </xf>
    <xf numFmtId="182" fontId="0" fillId="3" borderId="65" xfId="0" applyNumberFormat="1" applyFill="1" applyBorder="1" applyAlignment="1">
      <alignment horizontal="center" vertical="center"/>
    </xf>
    <xf numFmtId="182" fontId="0" fillId="3" borderId="62" xfId="0" applyNumberFormat="1" applyFill="1" applyBorder="1" applyAlignment="1">
      <alignment horizontal="center" vertical="center"/>
    </xf>
    <xf numFmtId="182" fontId="0" fillId="4" borderId="63" xfId="0" applyNumberFormat="1" applyFill="1" applyBorder="1" applyAlignment="1">
      <alignment horizontal="center" vertical="center"/>
    </xf>
    <xf numFmtId="182" fontId="0" fillId="4" borderId="64" xfId="0" applyNumberFormat="1" applyFill="1" applyBorder="1" applyAlignment="1">
      <alignment horizontal="center" vertical="center"/>
    </xf>
    <xf numFmtId="182" fontId="0" fillId="5" borderId="61" xfId="0" applyNumberFormat="1" applyFill="1" applyBorder="1" applyAlignment="1">
      <alignment horizontal="center" vertical="center"/>
    </xf>
    <xf numFmtId="182" fontId="0" fillId="5" borderId="62" xfId="0" applyNumberFormat="1" applyFill="1" applyBorder="1" applyAlignment="1">
      <alignment horizontal="center" vertical="center"/>
    </xf>
    <xf numFmtId="182" fontId="0" fillId="5" borderId="20" xfId="0" applyNumberFormat="1" applyFill="1" applyBorder="1" applyAlignment="1">
      <alignment horizontal="center" vertical="center"/>
    </xf>
    <xf numFmtId="182" fontId="0" fillId="4" borderId="19" xfId="0" applyNumberFormat="1" applyFill="1" applyBorder="1" applyAlignment="1">
      <alignment horizontal="center" vertical="center"/>
    </xf>
    <xf numFmtId="182" fontId="0" fillId="3" borderId="63" xfId="0" applyNumberFormat="1" applyFill="1" applyBorder="1" applyAlignment="1">
      <alignment horizontal="center" vertical="center"/>
    </xf>
    <xf numFmtId="182" fontId="0" fillId="3" borderId="64" xfId="0" applyNumberFormat="1" applyFill="1" applyBorder="1" applyAlignment="1">
      <alignment horizontal="center" vertical="center"/>
    </xf>
    <xf numFmtId="182" fontId="0" fillId="3" borderId="19" xfId="0" applyNumberFormat="1" applyFill="1" applyBorder="1" applyAlignment="1">
      <alignment horizontal="center" vertical="center"/>
    </xf>
    <xf numFmtId="182" fontId="0" fillId="3" borderId="20" xfId="0" applyNumberFormat="1" applyFill="1" applyBorder="1" applyAlignment="1">
      <alignment horizontal="center" vertical="center"/>
    </xf>
    <xf numFmtId="182" fontId="0" fillId="11" borderId="64" xfId="0" applyNumberFormat="1" applyFill="1" applyBorder="1" applyAlignment="1">
      <alignment horizontal="center" vertical="center"/>
    </xf>
    <xf numFmtId="182" fontId="0" fillId="5" borderId="65" xfId="0" applyNumberFormat="1" applyFill="1" applyBorder="1" applyAlignment="1">
      <alignment horizontal="center" vertical="center"/>
    </xf>
    <xf numFmtId="182" fontId="0" fillId="11" borderId="19" xfId="0" applyNumberFormat="1" applyFill="1" applyBorder="1" applyAlignment="1">
      <alignment horizontal="center" vertical="center"/>
    </xf>
    <xf numFmtId="182" fontId="0" fillId="11" borderId="20" xfId="0" applyNumberFormat="1" applyFill="1" applyBorder="1" applyAlignment="1">
      <alignment horizontal="center" vertical="center"/>
    </xf>
    <xf numFmtId="182" fontId="0" fillId="0" borderId="65" xfId="0" applyNumberFormat="1" applyBorder="1" applyAlignment="1">
      <alignment horizontal="center" vertical="center"/>
    </xf>
    <xf numFmtId="181" fontId="0" fillId="11" borderId="34" xfId="0" applyNumberFormat="1" applyFill="1" applyBorder="1" applyAlignment="1">
      <alignment horizontal="center" vertical="center"/>
    </xf>
    <xf numFmtId="181" fontId="0" fillId="11" borderId="58" xfId="0" applyNumberFormat="1" applyFill="1" applyBorder="1" applyAlignment="1">
      <alignment horizontal="center" vertical="center"/>
    </xf>
    <xf numFmtId="181" fontId="0" fillId="0" borderId="18" xfId="0" applyNumberFormat="1" applyBorder="1" applyAlignment="1">
      <alignment horizontal="center" vertical="center"/>
    </xf>
    <xf numFmtId="176" fontId="0" fillId="11" borderId="45" xfId="0" applyNumberFormat="1" applyFill="1" applyBorder="1" applyAlignment="1">
      <alignment horizontal="center" vertical="center"/>
    </xf>
    <xf numFmtId="176" fontId="0" fillId="11" borderId="42" xfId="0" applyNumberFormat="1" applyFill="1" applyBorder="1" applyAlignment="1">
      <alignment horizontal="center" vertical="center"/>
    </xf>
    <xf numFmtId="176" fontId="0" fillId="0" borderId="53" xfId="0" applyNumberFormat="1" applyBorder="1" applyAlignment="1">
      <alignment horizontal="center" vertical="center"/>
    </xf>
    <xf numFmtId="0" fontId="0" fillId="11" borderId="19" xfId="0" applyFill="1" applyBorder="1" applyAlignment="1">
      <alignment horizontal="center" vertical="center"/>
    </xf>
    <xf numFmtId="0" fontId="0" fillId="11" borderId="20" xfId="0" applyFill="1" applyBorder="1" applyAlignment="1">
      <alignment horizontal="center" vertical="center"/>
    </xf>
    <xf numFmtId="176" fontId="0" fillId="11" borderId="34" xfId="0" applyNumberFormat="1" applyFill="1" applyBorder="1" applyAlignment="1">
      <alignment horizontal="center" vertical="center"/>
    </xf>
    <xf numFmtId="176" fontId="0" fillId="11" borderId="58" xfId="0" applyNumberFormat="1" applyFill="1" applyBorder="1" applyAlignment="1">
      <alignment horizontal="center" vertical="center"/>
    </xf>
    <xf numFmtId="176" fontId="0" fillId="0" borderId="18" xfId="0" applyNumberFormat="1" applyBorder="1" applyAlignment="1">
      <alignment horizontal="center" vertical="center"/>
    </xf>
    <xf numFmtId="176" fontId="0" fillId="3" borderId="61" xfId="0" applyNumberFormat="1" applyFill="1" applyBorder="1" applyAlignment="1">
      <alignment horizontal="center" vertical="center"/>
    </xf>
    <xf numFmtId="176" fontId="0" fillId="3" borderId="65" xfId="0" applyNumberFormat="1" applyFill="1" applyBorder="1" applyAlignment="1">
      <alignment horizontal="center" vertical="center"/>
    </xf>
    <xf numFmtId="176" fontId="0" fillId="3" borderId="62" xfId="0" applyNumberFormat="1" applyFill="1" applyBorder="1" applyAlignment="1">
      <alignment horizontal="center" vertical="center"/>
    </xf>
    <xf numFmtId="176" fontId="0" fillId="5" borderId="61" xfId="0" applyNumberFormat="1" applyFill="1" applyBorder="1" applyAlignment="1">
      <alignment horizontal="center" vertical="center"/>
    </xf>
    <xf numFmtId="176" fontId="0" fillId="5" borderId="62" xfId="0" applyNumberFormat="1" applyFill="1" applyBorder="1" applyAlignment="1">
      <alignment horizontal="center" vertical="center"/>
    </xf>
    <xf numFmtId="176" fontId="0" fillId="5" borderId="20" xfId="0" applyNumberFormat="1" applyFill="1" applyBorder="1" applyAlignment="1">
      <alignment horizontal="center" vertical="center"/>
    </xf>
    <xf numFmtId="176" fontId="0" fillId="3" borderId="63" xfId="0" applyNumberFormat="1" applyFill="1" applyBorder="1" applyAlignment="1">
      <alignment horizontal="center" vertical="center"/>
    </xf>
    <xf numFmtId="176" fontId="0" fillId="3" borderId="64" xfId="0" applyNumberFormat="1" applyFill="1" applyBorder="1" applyAlignment="1">
      <alignment horizontal="center" vertical="center"/>
    </xf>
    <xf numFmtId="176" fontId="0" fillId="3" borderId="20" xfId="0" applyNumberFormat="1" applyFill="1" applyBorder="1" applyAlignment="1">
      <alignment horizontal="center" vertical="center"/>
    </xf>
    <xf numFmtId="176" fontId="0" fillId="11" borderId="64" xfId="0" applyNumberFormat="1" applyFill="1" applyBorder="1" applyAlignment="1">
      <alignment horizontal="center" vertical="center"/>
    </xf>
    <xf numFmtId="176" fontId="0" fillId="11" borderId="65" xfId="0" applyNumberFormat="1" applyFill="1" applyBorder="1" applyAlignment="1">
      <alignment horizontal="center" vertical="center"/>
    </xf>
    <xf numFmtId="176" fontId="0" fillId="5" borderId="65" xfId="0" applyNumberFormat="1" applyFill="1" applyBorder="1" applyAlignment="1">
      <alignment horizontal="center" vertical="center"/>
    </xf>
    <xf numFmtId="176" fontId="0" fillId="11" borderId="19" xfId="0" applyNumberFormat="1" applyFill="1" applyBorder="1" applyAlignment="1">
      <alignment horizontal="center" vertical="center"/>
    </xf>
    <xf numFmtId="176" fontId="0" fillId="11" borderId="20" xfId="0" applyNumberFormat="1" applyFill="1" applyBorder="1" applyAlignment="1">
      <alignment horizontal="center" vertical="center"/>
    </xf>
    <xf numFmtId="176" fontId="0" fillId="0" borderId="65" xfId="0" applyNumberFormat="1" applyBorder="1" applyAlignment="1">
      <alignment horizontal="center" vertical="center"/>
    </xf>
    <xf numFmtId="179" fontId="0" fillId="6" borderId="32" xfId="0" applyNumberFormat="1" applyFill="1" applyBorder="1" applyAlignment="1">
      <alignment horizontal="center" vertical="center"/>
    </xf>
    <xf numFmtId="179" fontId="0" fillId="3" borderId="58" xfId="0" applyNumberFormat="1" applyFill="1" applyBorder="1" applyAlignment="1">
      <alignment horizontal="center" vertical="center"/>
    </xf>
    <xf numFmtId="179" fontId="0" fillId="11" borderId="34" xfId="0" applyNumberFormat="1" applyFill="1" applyBorder="1" applyAlignment="1">
      <alignment horizontal="center" vertical="center"/>
    </xf>
    <xf numFmtId="179" fontId="0" fillId="11" borderId="58" xfId="0" applyNumberFormat="1" applyFill="1" applyBorder="1" applyAlignment="1">
      <alignment horizontal="center" vertical="center"/>
    </xf>
    <xf numFmtId="179" fontId="0" fillId="5" borderId="58" xfId="0" applyNumberFormat="1" applyFill="1" applyBorder="1" applyAlignment="1">
      <alignment horizontal="center" vertical="center"/>
    </xf>
    <xf numFmtId="179" fontId="0" fillId="0" borderId="18" xfId="0" applyNumberFormat="1" applyBorder="1" applyAlignment="1">
      <alignment horizontal="center" vertical="center"/>
    </xf>
    <xf numFmtId="178" fontId="0" fillId="11" borderId="45" xfId="0" applyNumberFormat="1" applyFill="1" applyBorder="1" applyAlignment="1">
      <alignment horizontal="center" vertical="center"/>
    </xf>
    <xf numFmtId="178" fontId="0" fillId="11" borderId="42" xfId="0" applyNumberFormat="1" applyFill="1" applyBorder="1" applyAlignment="1">
      <alignment horizontal="center" vertical="center"/>
    </xf>
    <xf numFmtId="178" fontId="0" fillId="11" borderId="34" xfId="0" applyNumberFormat="1" applyFill="1" applyBorder="1" applyAlignment="1">
      <alignment horizontal="center" vertical="center"/>
    </xf>
    <xf numFmtId="178" fontId="0" fillId="11" borderId="58" xfId="0" applyNumberFormat="1" applyFill="1" applyBorder="1" applyAlignment="1">
      <alignment horizontal="center" vertical="center"/>
    </xf>
    <xf numFmtId="0" fontId="0" fillId="11" borderId="45" xfId="0" applyFill="1" applyBorder="1" applyAlignment="1">
      <alignment horizontal="center" vertical="center"/>
    </xf>
    <xf numFmtId="0" fontId="0" fillId="11" borderId="42" xfId="0" applyFill="1" applyBorder="1" applyAlignment="1">
      <alignment horizontal="center" vertical="center"/>
    </xf>
    <xf numFmtId="180" fontId="0" fillId="11" borderId="19" xfId="0" applyNumberFormat="1" applyFill="1" applyBorder="1" applyAlignment="1">
      <alignment horizontal="center" vertical="center"/>
    </xf>
    <xf numFmtId="180" fontId="0" fillId="11" borderId="20" xfId="0" applyNumberFormat="1" applyFill="1" applyBorder="1" applyAlignment="1">
      <alignment horizontal="center" vertical="center"/>
    </xf>
    <xf numFmtId="0" fontId="0" fillId="11" borderId="34" xfId="0" applyFill="1" applyBorder="1" applyAlignment="1">
      <alignment horizontal="center" vertical="center"/>
    </xf>
    <xf numFmtId="0" fontId="0" fillId="3" borderId="45" xfId="0" applyFill="1" applyBorder="1" applyAlignment="1">
      <alignment vertical="center"/>
    </xf>
    <xf numFmtId="0" fontId="0" fillId="8" borderId="64" xfId="0" applyFill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3" borderId="43" xfId="0" applyFill="1" applyBorder="1" applyAlignment="1">
      <alignment horizontal="center" vertical="center"/>
    </xf>
    <xf numFmtId="0" fontId="0" fillId="4" borderId="43" xfId="0" applyFill="1" applyBorder="1" applyAlignment="1">
      <alignment horizontal="center" vertical="center"/>
    </xf>
    <xf numFmtId="0" fontId="0" fillId="3" borderId="43" xfId="0" applyFill="1" applyBorder="1" applyAlignment="1">
      <alignment horizontal="center" vertical="center"/>
    </xf>
    <xf numFmtId="0" fontId="0" fillId="5" borderId="43" xfId="0" applyFill="1" applyBorder="1" applyAlignment="1">
      <alignment horizontal="center" vertical="center"/>
    </xf>
    <xf numFmtId="0" fontId="0" fillId="4" borderId="39" xfId="0" applyFill="1" applyBorder="1" applyAlignment="1">
      <alignment horizontal="center" vertical="center"/>
    </xf>
    <xf numFmtId="0" fontId="0" fillId="4" borderId="38" xfId="0" applyFill="1" applyBorder="1" applyAlignment="1">
      <alignment horizontal="center" vertical="center"/>
    </xf>
    <xf numFmtId="0" fontId="0" fillId="4" borderId="40" xfId="0" applyFill="1" applyBorder="1" applyAlignment="1">
      <alignment horizontal="center" vertical="center"/>
    </xf>
    <xf numFmtId="0" fontId="0" fillId="4" borderId="76" xfId="0" applyFill="1" applyBorder="1" applyAlignment="1">
      <alignment horizontal="center" vertical="center"/>
    </xf>
    <xf numFmtId="0" fontId="0" fillId="4" borderId="51" xfId="0" applyFill="1" applyBorder="1" applyAlignment="1">
      <alignment horizontal="center" vertical="center"/>
    </xf>
    <xf numFmtId="0" fontId="16" fillId="5" borderId="19" xfId="0" applyFont="1" applyFill="1" applyBorder="1" applyAlignment="1">
      <alignment horizontal="center" vertical="center"/>
    </xf>
    <xf numFmtId="182" fontId="0" fillId="5" borderId="19" xfId="0" applyNumberFormat="1" applyFill="1" applyBorder="1" applyAlignment="1">
      <alignment horizontal="center" vertical="center"/>
    </xf>
    <xf numFmtId="181" fontId="0" fillId="5" borderId="45" xfId="0" applyNumberFormat="1" applyFill="1" applyBorder="1" applyAlignment="1">
      <alignment horizontal="center" vertical="center"/>
    </xf>
    <xf numFmtId="181" fontId="0" fillId="5" borderId="43" xfId="0" applyNumberFormat="1" applyFill="1" applyBorder="1" applyAlignment="1">
      <alignment horizontal="center" vertical="center"/>
    </xf>
    <xf numFmtId="181" fontId="0" fillId="5" borderId="34" xfId="0" applyNumberFormat="1" applyFill="1" applyBorder="1" applyAlignment="1">
      <alignment horizontal="center" vertical="center"/>
    </xf>
    <xf numFmtId="0" fontId="0" fillId="5" borderId="19" xfId="0" applyFill="1" applyBorder="1" applyAlignment="1">
      <alignment horizontal="center" vertical="center"/>
    </xf>
    <xf numFmtId="176" fontId="0" fillId="5" borderId="45" xfId="0" applyNumberFormat="1" applyFill="1" applyBorder="1" applyAlignment="1">
      <alignment horizontal="center" vertical="center"/>
    </xf>
    <xf numFmtId="176" fontId="0" fillId="5" borderId="43" xfId="0" applyNumberFormat="1" applyFill="1" applyBorder="1" applyAlignment="1">
      <alignment horizontal="center" vertical="center"/>
    </xf>
    <xf numFmtId="176" fontId="0" fillId="5" borderId="34" xfId="0" applyNumberFormat="1" applyFill="1" applyBorder="1" applyAlignment="1">
      <alignment horizontal="center" vertical="center"/>
    </xf>
    <xf numFmtId="178" fontId="0" fillId="5" borderId="45" xfId="0" applyNumberFormat="1" applyFill="1" applyBorder="1" applyAlignment="1">
      <alignment horizontal="center" vertical="center"/>
    </xf>
    <xf numFmtId="178" fontId="0" fillId="5" borderId="43" xfId="0" applyNumberFormat="1" applyFill="1" applyBorder="1" applyAlignment="1">
      <alignment horizontal="center" vertical="center"/>
    </xf>
    <xf numFmtId="178" fontId="0" fillId="5" borderId="34" xfId="0" applyNumberFormat="1" applyFill="1" applyBorder="1" applyAlignment="1">
      <alignment horizontal="center" vertical="center"/>
    </xf>
    <xf numFmtId="180" fontId="0" fillId="5" borderId="19" xfId="0" applyNumberFormat="1" applyFill="1" applyBorder="1" applyAlignment="1">
      <alignment horizontal="center" vertical="center"/>
    </xf>
    <xf numFmtId="0" fontId="0" fillId="5" borderId="45" xfId="0" applyFill="1" applyBorder="1" applyAlignment="1">
      <alignment horizontal="center" vertical="center"/>
    </xf>
    <xf numFmtId="0" fontId="0" fillId="5" borderId="34" xfId="0" applyFill="1" applyBorder="1" applyAlignment="1">
      <alignment horizontal="center" vertical="center"/>
    </xf>
    <xf numFmtId="176" fontId="0" fillId="5" borderId="19" xfId="0" applyNumberFormat="1" applyFill="1" applyBorder="1" applyAlignment="1">
      <alignment horizontal="center" vertical="center"/>
    </xf>
    <xf numFmtId="177" fontId="0" fillId="6" borderId="45" xfId="0" applyNumberFormat="1" applyFill="1" applyBorder="1" applyAlignment="1">
      <alignment horizontal="center" vertical="center"/>
    </xf>
    <xf numFmtId="177" fontId="0" fillId="6" borderId="43" xfId="0" applyNumberFormat="1" applyFill="1" applyBorder="1" applyAlignment="1">
      <alignment horizontal="center" vertical="center"/>
    </xf>
    <xf numFmtId="177" fontId="0" fillId="6" borderId="34" xfId="0" applyNumberFormat="1" applyFill="1" applyBorder="1" applyAlignment="1">
      <alignment horizontal="center" vertical="center"/>
    </xf>
    <xf numFmtId="177" fontId="0" fillId="4" borderId="42" xfId="0" applyNumberFormat="1" applyFill="1" applyBorder="1" applyAlignment="1">
      <alignment horizontal="center" vertical="center"/>
    </xf>
    <xf numFmtId="177" fontId="0" fillId="4" borderId="56" xfId="0" applyNumberFormat="1" applyFill="1" applyBorder="1" applyAlignment="1">
      <alignment horizontal="center" vertical="center"/>
    </xf>
    <xf numFmtId="177" fontId="0" fillId="4" borderId="58" xfId="0" applyNumberFormat="1" applyFill="1" applyBorder="1" applyAlignment="1">
      <alignment horizontal="center" vertical="center"/>
    </xf>
    <xf numFmtId="177" fontId="0" fillId="10" borderId="45" xfId="0" applyNumberFormat="1" applyFill="1" applyBorder="1" applyAlignment="1">
      <alignment horizontal="center" vertical="center"/>
    </xf>
    <xf numFmtId="177" fontId="0" fillId="10" borderId="43" xfId="0" applyNumberFormat="1" applyFill="1" applyBorder="1" applyAlignment="1">
      <alignment horizontal="center" vertical="center"/>
    </xf>
    <xf numFmtId="177" fontId="0" fillId="10" borderId="34" xfId="0" applyNumberFormat="1" applyFill="1" applyBorder="1" applyAlignment="1">
      <alignment horizontal="center" vertical="center"/>
    </xf>
    <xf numFmtId="177" fontId="0" fillId="6" borderId="60" xfId="0" applyNumberFormat="1" applyFill="1" applyBorder="1" applyAlignment="1">
      <alignment horizontal="center" vertical="center"/>
    </xf>
    <xf numFmtId="177" fontId="0" fillId="6" borderId="55" xfId="0" applyNumberFormat="1" applyFill="1" applyBorder="1" applyAlignment="1">
      <alignment horizontal="center" vertical="center"/>
    </xf>
    <xf numFmtId="177" fontId="0" fillId="6" borderId="32" xfId="0" applyNumberFormat="1" applyFill="1" applyBorder="1" applyAlignment="1">
      <alignment horizontal="center" vertical="center"/>
    </xf>
    <xf numFmtId="177" fontId="0" fillId="6" borderId="59" xfId="0" applyNumberFormat="1" applyFill="1" applyBorder="1" applyAlignment="1">
      <alignment horizontal="center" vertical="center"/>
    </xf>
    <xf numFmtId="177" fontId="0" fillId="6" borderId="52" xfId="0" applyNumberFormat="1" applyFill="1" applyBorder="1" applyAlignment="1">
      <alignment horizontal="center" vertical="center"/>
    </xf>
    <xf numFmtId="177" fontId="0" fillId="6" borderId="50" xfId="0" applyNumberFormat="1" applyFill="1" applyBorder="1" applyAlignment="1">
      <alignment horizontal="center" vertical="center"/>
    </xf>
    <xf numFmtId="177" fontId="0" fillId="3" borderId="11" xfId="0" applyNumberFormat="1" applyFill="1" applyBorder="1" applyAlignment="1">
      <alignment horizontal="center" vertical="center"/>
    </xf>
    <xf numFmtId="177" fontId="0" fillId="3" borderId="3" xfId="0" applyNumberFormat="1" applyFill="1" applyBorder="1" applyAlignment="1">
      <alignment horizontal="center" vertical="center"/>
    </xf>
    <xf numFmtId="177" fontId="0" fillId="3" borderId="57" xfId="0" applyNumberFormat="1" applyFill="1" applyBorder="1" applyAlignment="1">
      <alignment horizontal="center" vertical="center"/>
    </xf>
    <xf numFmtId="177" fontId="0" fillId="3" borderId="53" xfId="0" applyNumberFormat="1" applyFill="1" applyBorder="1" applyAlignment="1">
      <alignment horizontal="center" vertical="center"/>
    </xf>
    <xf numFmtId="177" fontId="0" fillId="3" borderId="1" xfId="0" applyNumberFormat="1" applyFill="1" applyBorder="1" applyAlignment="1">
      <alignment horizontal="center" vertical="center"/>
    </xf>
    <xf numFmtId="177" fontId="0" fillId="3" borderId="18" xfId="0" applyNumberFormat="1" applyFill="1" applyBorder="1" applyAlignment="1">
      <alignment horizontal="center" vertical="center"/>
    </xf>
    <xf numFmtId="177" fontId="0" fillId="3" borderId="12" xfId="0" applyNumberFormat="1" applyFill="1" applyBorder="1" applyAlignment="1">
      <alignment horizontal="center" vertical="center"/>
    </xf>
    <xf numFmtId="177" fontId="0" fillId="3" borderId="7" xfId="0" applyNumberFormat="1" applyFill="1" applyBorder="1" applyAlignment="1">
      <alignment horizontal="center" vertical="center"/>
    </xf>
    <xf numFmtId="177" fontId="0" fillId="3" borderId="24" xfId="0" applyNumberFormat="1" applyFill="1" applyBorder="1" applyAlignment="1">
      <alignment horizontal="center" vertical="center"/>
    </xf>
    <xf numFmtId="177" fontId="0" fillId="4" borderId="60" xfId="0" applyNumberFormat="1" applyFill="1" applyBorder="1" applyAlignment="1">
      <alignment horizontal="center" vertical="center"/>
    </xf>
    <xf numFmtId="177" fontId="0" fillId="4" borderId="55" xfId="0" applyNumberFormat="1" applyFill="1" applyBorder="1" applyAlignment="1">
      <alignment horizontal="center" vertical="center"/>
    </xf>
    <xf numFmtId="177" fontId="0" fillId="4" borderId="32" xfId="0" applyNumberFormat="1" applyFill="1" applyBorder="1" applyAlignment="1">
      <alignment horizontal="center" vertical="center"/>
    </xf>
    <xf numFmtId="177" fontId="0" fillId="4" borderId="59" xfId="0" applyNumberFormat="1" applyFill="1" applyBorder="1" applyAlignment="1">
      <alignment horizontal="center" vertical="center"/>
    </xf>
    <xf numFmtId="177" fontId="0" fillId="4" borderId="52" xfId="0" applyNumberFormat="1" applyFill="1" applyBorder="1" applyAlignment="1">
      <alignment horizontal="center" vertical="center"/>
    </xf>
    <xf numFmtId="177" fontId="0" fillId="4" borderId="50" xfId="0" applyNumberFormat="1" applyFill="1" applyBorder="1" applyAlignment="1">
      <alignment horizontal="center" vertical="center"/>
    </xf>
    <xf numFmtId="177" fontId="0" fillId="5" borderId="11" xfId="0" applyNumberFormat="1" applyFill="1" applyBorder="1" applyAlignment="1">
      <alignment horizontal="center" vertical="center"/>
    </xf>
    <xf numFmtId="177" fontId="0" fillId="5" borderId="3" xfId="0" applyNumberFormat="1" applyFill="1" applyBorder="1" applyAlignment="1">
      <alignment horizontal="center" vertical="center"/>
    </xf>
    <xf numFmtId="177" fontId="0" fillId="5" borderId="57" xfId="0" applyNumberFormat="1" applyFill="1" applyBorder="1" applyAlignment="1">
      <alignment horizontal="center" vertical="center"/>
    </xf>
    <xf numFmtId="177" fontId="0" fillId="5" borderId="12" xfId="0" applyNumberFormat="1" applyFill="1" applyBorder="1" applyAlignment="1">
      <alignment horizontal="center" vertical="center"/>
    </xf>
    <xf numFmtId="177" fontId="0" fillId="5" borderId="7" xfId="0" applyNumberFormat="1" applyFill="1" applyBorder="1" applyAlignment="1">
      <alignment horizontal="center" vertical="center"/>
    </xf>
    <xf numFmtId="177" fontId="0" fillId="5" borderId="24" xfId="0" applyNumberFormat="1" applyFill="1" applyBorder="1" applyAlignment="1">
      <alignment horizontal="center" vertical="center"/>
    </xf>
    <xf numFmtId="177" fontId="0" fillId="5" borderId="42" xfId="0" applyNumberFormat="1" applyFill="1" applyBorder="1" applyAlignment="1">
      <alignment horizontal="center" vertical="center"/>
    </xf>
    <xf numFmtId="177" fontId="0" fillId="5" borderId="56" xfId="0" applyNumberFormat="1" applyFill="1" applyBorder="1" applyAlignment="1">
      <alignment horizontal="center" vertical="center"/>
    </xf>
    <xf numFmtId="177" fontId="0" fillId="5" borderId="58" xfId="0" applyNumberFormat="1" applyFill="1" applyBorder="1" applyAlignment="1">
      <alignment horizontal="center" vertical="center"/>
    </xf>
    <xf numFmtId="177" fontId="0" fillId="4" borderId="45" xfId="0" applyNumberFormat="1" applyFill="1" applyBorder="1" applyAlignment="1">
      <alignment horizontal="center" vertical="center"/>
    </xf>
    <xf numFmtId="177" fontId="0" fillId="4" borderId="43" xfId="0" applyNumberFormat="1" applyFill="1" applyBorder="1" applyAlignment="1">
      <alignment horizontal="center" vertical="center"/>
    </xf>
    <xf numFmtId="177" fontId="0" fillId="4" borderId="34" xfId="0" applyNumberFormat="1" applyFill="1" applyBorder="1" applyAlignment="1">
      <alignment horizontal="center" vertical="center"/>
    </xf>
    <xf numFmtId="177" fontId="0" fillId="3" borderId="60" xfId="0" applyNumberFormat="1" applyFill="1" applyBorder="1" applyAlignment="1">
      <alignment horizontal="center" vertical="center"/>
    </xf>
    <xf numFmtId="177" fontId="0" fillId="3" borderId="55" xfId="0" applyNumberFormat="1" applyFill="1" applyBorder="1" applyAlignment="1">
      <alignment horizontal="center" vertical="center"/>
    </xf>
    <xf numFmtId="177" fontId="0" fillId="3" borderId="32" xfId="0" applyNumberFormat="1" applyFill="1" applyBorder="1" applyAlignment="1">
      <alignment horizontal="center" vertical="center"/>
    </xf>
    <xf numFmtId="177" fontId="0" fillId="3" borderId="59" xfId="0" applyNumberFormat="1" applyFill="1" applyBorder="1" applyAlignment="1">
      <alignment horizontal="center" vertical="center"/>
    </xf>
    <xf numFmtId="177" fontId="0" fillId="3" borderId="52" xfId="0" applyNumberFormat="1" applyFill="1" applyBorder="1" applyAlignment="1">
      <alignment horizontal="center" vertical="center"/>
    </xf>
    <xf numFmtId="177" fontId="0" fillId="3" borderId="50" xfId="0" applyNumberFormat="1" applyFill="1" applyBorder="1" applyAlignment="1">
      <alignment horizontal="center" vertical="center"/>
    </xf>
    <xf numFmtId="177" fontId="0" fillId="3" borderId="45" xfId="0" applyNumberFormat="1" applyFill="1" applyBorder="1" applyAlignment="1">
      <alignment horizontal="center" vertical="center"/>
    </xf>
    <xf numFmtId="177" fontId="0" fillId="3" borderId="43" xfId="0" applyNumberFormat="1" applyFill="1" applyBorder="1" applyAlignment="1">
      <alignment horizontal="center" vertical="center"/>
    </xf>
    <xf numFmtId="177" fontId="0" fillId="3" borderId="34" xfId="0" applyNumberFormat="1" applyFill="1" applyBorder="1" applyAlignment="1">
      <alignment horizontal="center" vertical="center"/>
    </xf>
    <xf numFmtId="177" fontId="0" fillId="3" borderId="42" xfId="0" applyNumberFormat="1" applyFill="1" applyBorder="1" applyAlignment="1">
      <alignment horizontal="center" vertical="center"/>
    </xf>
    <xf numFmtId="177" fontId="0" fillId="3" borderId="56" xfId="0" applyNumberFormat="1" applyFill="1" applyBorder="1" applyAlignment="1">
      <alignment horizontal="center" vertical="center"/>
    </xf>
    <xf numFmtId="177" fontId="0" fillId="3" borderId="58" xfId="0" applyNumberFormat="1" applyFill="1" applyBorder="1" applyAlignment="1">
      <alignment horizontal="center" vertical="center"/>
    </xf>
    <xf numFmtId="177" fontId="0" fillId="11" borderId="59" xfId="0" applyNumberFormat="1" applyFill="1" applyBorder="1" applyAlignment="1">
      <alignment horizontal="center" vertical="center"/>
    </xf>
    <xf numFmtId="177" fontId="0" fillId="11" borderId="50" xfId="0" applyNumberFormat="1" applyFill="1" applyBorder="1" applyAlignment="1">
      <alignment horizontal="center" vertical="center"/>
    </xf>
    <xf numFmtId="177" fontId="0" fillId="11" borderId="53" xfId="0" applyNumberFormat="1" applyFill="1" applyBorder="1" applyAlignment="1">
      <alignment horizontal="center" vertical="center"/>
    </xf>
    <xf numFmtId="177" fontId="0" fillId="11" borderId="1" xfId="0" applyNumberFormat="1" applyFill="1" applyBorder="1" applyAlignment="1">
      <alignment horizontal="center" vertical="center"/>
    </xf>
    <xf numFmtId="177" fontId="0" fillId="11" borderId="18" xfId="0" applyNumberFormat="1" applyFill="1" applyBorder="1" applyAlignment="1">
      <alignment horizontal="center" vertical="center"/>
    </xf>
    <xf numFmtId="177" fontId="0" fillId="5" borderId="53" xfId="0" applyNumberFormat="1" applyFill="1" applyBorder="1" applyAlignment="1">
      <alignment horizontal="center" vertical="center"/>
    </xf>
    <xf numFmtId="177" fontId="0" fillId="5" borderId="1" xfId="0" applyNumberFormat="1" applyFill="1" applyBorder="1" applyAlignment="1">
      <alignment horizontal="center" vertical="center"/>
    </xf>
    <xf numFmtId="177" fontId="0" fillId="5" borderId="18" xfId="0" applyNumberFormat="1" applyFill="1" applyBorder="1" applyAlignment="1">
      <alignment horizontal="center" vertical="center"/>
    </xf>
    <xf numFmtId="177" fontId="0" fillId="11" borderId="45" xfId="0" applyNumberFormat="1" applyFill="1" applyBorder="1" applyAlignment="1">
      <alignment horizontal="center" vertical="center"/>
    </xf>
    <xf numFmtId="177" fontId="0" fillId="11" borderId="43" xfId="0" applyNumberFormat="1" applyFill="1" applyBorder="1" applyAlignment="1">
      <alignment horizontal="center" vertical="center"/>
    </xf>
    <xf numFmtId="177" fontId="0" fillId="11" borderId="34" xfId="0" applyNumberFormat="1" applyFill="1" applyBorder="1" applyAlignment="1">
      <alignment horizontal="center" vertical="center"/>
    </xf>
    <xf numFmtId="177" fontId="0" fillId="11" borderId="42" xfId="0" applyNumberFormat="1" applyFill="1" applyBorder="1" applyAlignment="1">
      <alignment horizontal="center" vertical="center"/>
    </xf>
    <xf numFmtId="177" fontId="0" fillId="11" borderId="56" xfId="0" applyNumberFormat="1" applyFill="1" applyBorder="1" applyAlignment="1">
      <alignment horizontal="center" vertical="center"/>
    </xf>
    <xf numFmtId="177" fontId="0" fillId="11" borderId="58" xfId="0" applyNumberFormat="1" applyFill="1" applyBorder="1" applyAlignment="1">
      <alignment horizontal="center" vertical="center"/>
    </xf>
    <xf numFmtId="177" fontId="0" fillId="0" borderId="60" xfId="0" applyNumberFormat="1" applyFill="1" applyBorder="1" applyAlignment="1">
      <alignment horizontal="center" vertical="center"/>
    </xf>
    <xf numFmtId="177" fontId="0" fillId="0" borderId="55" xfId="0" applyNumberFormat="1" applyFill="1" applyBorder="1" applyAlignment="1">
      <alignment horizontal="center" vertical="center"/>
    </xf>
    <xf numFmtId="177" fontId="0" fillId="0" borderId="32" xfId="0" applyNumberFormat="1" applyFill="1" applyBorder="1" applyAlignment="1">
      <alignment horizontal="center" vertical="center"/>
    </xf>
    <xf numFmtId="177" fontId="0" fillId="0" borderId="53" xfId="0" applyNumberFormat="1" applyFill="1" applyBorder="1" applyAlignment="1">
      <alignment horizontal="center" vertical="center"/>
    </xf>
    <xf numFmtId="177" fontId="0" fillId="0" borderId="1" xfId="0" applyNumberFormat="1" applyFill="1" applyBorder="1" applyAlignment="1">
      <alignment horizontal="center" vertical="center"/>
    </xf>
    <xf numFmtId="177" fontId="0" fillId="0" borderId="18" xfId="0" applyNumberFormat="1" applyFill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18" fillId="3" borderId="18" xfId="0" applyFont="1" applyFill="1" applyBorder="1" applyAlignment="1">
      <alignment horizontal="center" vertical="center"/>
    </xf>
    <xf numFmtId="0" fontId="18" fillId="3" borderId="50" xfId="0" applyFont="1" applyFill="1" applyBorder="1" applyAlignment="1">
      <alignment horizontal="center" vertical="center"/>
    </xf>
    <xf numFmtId="177" fontId="17" fillId="3" borderId="53" xfId="0" applyNumberFormat="1" applyFont="1" applyFill="1" applyBorder="1" applyAlignment="1">
      <alignment horizontal="center" vertical="center"/>
    </xf>
    <xf numFmtId="177" fontId="17" fillId="3" borderId="1" xfId="0" applyNumberFormat="1" applyFont="1" applyFill="1" applyBorder="1" applyAlignment="1">
      <alignment horizontal="center" vertical="center"/>
    </xf>
    <xf numFmtId="177" fontId="17" fillId="3" borderId="18" xfId="0" applyNumberFormat="1" applyFont="1" applyFill="1" applyBorder="1" applyAlignment="1">
      <alignment horizontal="center" vertical="center"/>
    </xf>
    <xf numFmtId="182" fontId="17" fillId="3" borderId="63" xfId="0" applyNumberFormat="1" applyFont="1" applyFill="1" applyBorder="1" applyAlignment="1">
      <alignment horizontal="center" vertical="center"/>
    </xf>
    <xf numFmtId="182" fontId="17" fillId="3" borderId="65" xfId="0" applyNumberFormat="1" applyFont="1" applyFill="1" applyBorder="1" applyAlignment="1">
      <alignment horizontal="center" vertical="center"/>
    </xf>
    <xf numFmtId="177" fontId="17" fillId="4" borderId="43" xfId="0" applyNumberFormat="1" applyFont="1" applyFill="1" applyBorder="1" applyAlignment="1">
      <alignment horizontal="center" vertical="center"/>
    </xf>
    <xf numFmtId="177" fontId="17" fillId="4" borderId="34" xfId="0" applyNumberFormat="1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182" fontId="0" fillId="5" borderId="64" xfId="0" applyNumberFormat="1" applyFill="1" applyBorder="1" applyAlignment="1">
      <alignment horizontal="center" vertical="center"/>
    </xf>
    <xf numFmtId="181" fontId="0" fillId="5" borderId="59" xfId="0" applyNumberFormat="1" applyFill="1" applyBorder="1" applyAlignment="1">
      <alignment horizontal="center" vertical="center"/>
    </xf>
    <xf numFmtId="181" fontId="0" fillId="5" borderId="52" xfId="0" applyNumberFormat="1" applyFill="1" applyBorder="1" applyAlignment="1">
      <alignment horizontal="center" vertical="center"/>
    </xf>
    <xf numFmtId="181" fontId="0" fillId="5" borderId="50" xfId="0" applyNumberFormat="1" applyFill="1" applyBorder="1" applyAlignment="1">
      <alignment horizontal="center" vertical="center"/>
    </xf>
    <xf numFmtId="176" fontId="0" fillId="5" borderId="59" xfId="0" applyNumberFormat="1" applyFill="1" applyBorder="1" applyAlignment="1">
      <alignment horizontal="center" vertical="center"/>
    </xf>
    <xf numFmtId="176" fontId="0" fillId="5" borderId="52" xfId="0" applyNumberFormat="1" applyFill="1" applyBorder="1" applyAlignment="1">
      <alignment horizontal="center" vertical="center"/>
    </xf>
    <xf numFmtId="176" fontId="0" fillId="5" borderId="50" xfId="0" applyNumberFormat="1" applyFill="1" applyBorder="1" applyAlignment="1">
      <alignment horizontal="center" vertical="center"/>
    </xf>
    <xf numFmtId="179" fontId="0" fillId="5" borderId="52" xfId="0" applyNumberFormat="1" applyFill="1" applyBorder="1" applyAlignment="1">
      <alignment horizontal="center" vertical="center"/>
    </xf>
    <xf numFmtId="179" fontId="0" fillId="5" borderId="50" xfId="0" applyNumberFormat="1" applyFill="1" applyBorder="1" applyAlignment="1">
      <alignment horizontal="center" vertical="center"/>
    </xf>
    <xf numFmtId="178" fontId="0" fillId="5" borderId="59" xfId="0" applyNumberFormat="1" applyFill="1" applyBorder="1" applyAlignment="1">
      <alignment horizontal="center" vertical="center"/>
    </xf>
    <xf numFmtId="178" fontId="0" fillId="5" borderId="52" xfId="0" applyNumberFormat="1" applyFill="1" applyBorder="1" applyAlignment="1">
      <alignment horizontal="center" vertical="center"/>
    </xf>
    <xf numFmtId="178" fontId="0" fillId="5" borderId="50" xfId="0" applyNumberFormat="1" applyFill="1" applyBorder="1" applyAlignment="1">
      <alignment horizontal="center" vertical="center"/>
    </xf>
    <xf numFmtId="180" fontId="0" fillId="5" borderId="64" xfId="0" applyNumberFormat="1" applyFill="1" applyBorder="1" applyAlignment="1">
      <alignment horizontal="center" vertical="center"/>
    </xf>
    <xf numFmtId="0" fontId="18" fillId="5" borderId="64" xfId="0" applyFont="1" applyFill="1" applyBorder="1" applyAlignment="1">
      <alignment horizontal="center" vertical="center"/>
    </xf>
    <xf numFmtId="177" fontId="17" fillId="5" borderId="59" xfId="0" applyNumberFormat="1" applyFont="1" applyFill="1" applyBorder="1" applyAlignment="1">
      <alignment horizontal="center" vertical="center"/>
    </xf>
    <xf numFmtId="177" fontId="17" fillId="5" borderId="52" xfId="0" applyNumberFormat="1" applyFont="1" applyFill="1" applyBorder="1" applyAlignment="1">
      <alignment horizontal="center" vertical="center"/>
    </xf>
    <xf numFmtId="177" fontId="17" fillId="5" borderId="50" xfId="0" applyNumberFormat="1" applyFont="1" applyFill="1" applyBorder="1" applyAlignment="1">
      <alignment horizontal="center" vertical="center"/>
    </xf>
    <xf numFmtId="176" fontId="17" fillId="5" borderId="64" xfId="0" applyNumberFormat="1" applyFont="1" applyFill="1" applyBorder="1" applyAlignment="1">
      <alignment horizontal="center" vertical="center"/>
    </xf>
    <xf numFmtId="176" fontId="17" fillId="5" borderId="61" xfId="0" applyNumberFormat="1" applyFont="1" applyFill="1" applyBorder="1" applyAlignment="1">
      <alignment horizontal="center" vertical="center"/>
    </xf>
    <xf numFmtId="176" fontId="17" fillId="5" borderId="62" xfId="0" applyNumberFormat="1" applyFont="1" applyFill="1" applyBorder="1" applyAlignment="1">
      <alignment horizontal="center" vertical="center"/>
    </xf>
    <xf numFmtId="176" fontId="17" fillId="3" borderId="63" xfId="0" applyNumberFormat="1" applyFont="1" applyFill="1" applyBorder="1" applyAlignment="1">
      <alignment horizontal="center" vertical="center"/>
    </xf>
    <xf numFmtId="176" fontId="17" fillId="3" borderId="65" xfId="0" applyNumberFormat="1" applyFont="1" applyFill="1" applyBorder="1" applyAlignment="1">
      <alignment horizontal="center" vertical="center"/>
    </xf>
    <xf numFmtId="182" fontId="17" fillId="3" borderId="20" xfId="0" applyNumberFormat="1" applyFont="1" applyFill="1" applyBorder="1" applyAlignment="1">
      <alignment horizontal="center" vertical="center"/>
    </xf>
    <xf numFmtId="0" fontId="18" fillId="3" borderId="65" xfId="0" applyFont="1" applyFill="1" applyBorder="1" applyAlignment="1">
      <alignment horizontal="center" vertical="center"/>
    </xf>
    <xf numFmtId="182" fontId="18" fillId="3" borderId="65" xfId="0" applyNumberFormat="1" applyFont="1" applyFill="1" applyBorder="1" applyAlignment="1">
      <alignment horizontal="center" vertical="center"/>
    </xf>
    <xf numFmtId="181" fontId="18" fillId="3" borderId="53" xfId="0" applyNumberFormat="1" applyFont="1" applyFill="1" applyBorder="1" applyAlignment="1">
      <alignment horizontal="center" vertical="center"/>
    </xf>
    <xf numFmtId="181" fontId="18" fillId="3" borderId="1" xfId="0" applyNumberFormat="1" applyFont="1" applyFill="1" applyBorder="1" applyAlignment="1">
      <alignment horizontal="center" vertical="center"/>
    </xf>
    <xf numFmtId="181" fontId="18" fillId="3" borderId="18" xfId="0" applyNumberFormat="1" applyFont="1" applyFill="1" applyBorder="1" applyAlignment="1">
      <alignment horizontal="center" vertical="center"/>
    </xf>
    <xf numFmtId="176" fontId="18" fillId="3" borderId="53" xfId="0" applyNumberFormat="1" applyFont="1" applyFill="1" applyBorder="1" applyAlignment="1">
      <alignment horizontal="center" vertical="center"/>
    </xf>
    <xf numFmtId="176" fontId="18" fillId="3" borderId="1" xfId="0" applyNumberFormat="1" applyFont="1" applyFill="1" applyBorder="1" applyAlignment="1">
      <alignment horizontal="center" vertical="center"/>
    </xf>
    <xf numFmtId="176" fontId="18" fillId="3" borderId="18" xfId="0" applyNumberFormat="1" applyFont="1" applyFill="1" applyBorder="1" applyAlignment="1">
      <alignment horizontal="center" vertical="center"/>
    </xf>
    <xf numFmtId="176" fontId="18" fillId="3" borderId="65" xfId="0" applyNumberFormat="1" applyFont="1" applyFill="1" applyBorder="1" applyAlignment="1">
      <alignment horizontal="center" vertical="center"/>
    </xf>
    <xf numFmtId="179" fontId="18" fillId="3" borderId="1" xfId="0" applyNumberFormat="1" applyFont="1" applyFill="1" applyBorder="1" applyAlignment="1">
      <alignment horizontal="center" vertical="center"/>
    </xf>
    <xf numFmtId="179" fontId="18" fillId="3" borderId="18" xfId="0" applyNumberFormat="1" applyFont="1" applyFill="1" applyBorder="1" applyAlignment="1">
      <alignment horizontal="center" vertical="center"/>
    </xf>
    <xf numFmtId="178" fontId="18" fillId="3" borderId="53" xfId="0" applyNumberFormat="1" applyFont="1" applyFill="1" applyBorder="1" applyAlignment="1">
      <alignment horizontal="center" vertical="center"/>
    </xf>
    <xf numFmtId="178" fontId="18" fillId="3" borderId="1" xfId="0" applyNumberFormat="1" applyFont="1" applyFill="1" applyBorder="1" applyAlignment="1">
      <alignment horizontal="center" vertical="center"/>
    </xf>
    <xf numFmtId="178" fontId="18" fillId="3" borderId="18" xfId="0" applyNumberFormat="1" applyFont="1" applyFill="1" applyBorder="1" applyAlignment="1">
      <alignment horizontal="center" vertical="center"/>
    </xf>
    <xf numFmtId="180" fontId="18" fillId="3" borderId="65" xfId="0" applyNumberFormat="1" applyFont="1" applyFill="1" applyBorder="1" applyAlignment="1">
      <alignment horizontal="center" vertical="center"/>
    </xf>
    <xf numFmtId="0" fontId="18" fillId="3" borderId="53" xfId="0" applyFont="1" applyFill="1" applyBorder="1" applyAlignment="1">
      <alignment horizontal="center" vertical="center"/>
    </xf>
    <xf numFmtId="0" fontId="18" fillId="3" borderId="1" xfId="0" applyFont="1" applyFill="1" applyBorder="1" applyAlignment="1">
      <alignment horizontal="center" vertical="center"/>
    </xf>
    <xf numFmtId="177" fontId="18" fillId="3" borderId="53" xfId="0" applyNumberFormat="1" applyFont="1" applyFill="1" applyBorder="1" applyAlignment="1">
      <alignment horizontal="center" vertical="center"/>
    </xf>
    <xf numFmtId="177" fontId="18" fillId="3" borderId="1" xfId="0" applyNumberFormat="1" applyFont="1" applyFill="1" applyBorder="1" applyAlignment="1">
      <alignment horizontal="center" vertical="center"/>
    </xf>
    <xf numFmtId="177" fontId="18" fillId="3" borderId="18" xfId="0" applyNumberFormat="1" applyFont="1" applyFill="1" applyBorder="1" applyAlignment="1">
      <alignment horizontal="center" vertical="center"/>
    </xf>
    <xf numFmtId="0" fontId="18" fillId="3" borderId="35" xfId="0" applyFont="1" applyFill="1" applyBorder="1" applyAlignment="1">
      <alignment horizontal="center" vertical="center"/>
    </xf>
    <xf numFmtId="176" fontId="17" fillId="4" borderId="63" xfId="0" applyNumberFormat="1" applyFont="1" applyFill="1" applyBorder="1" applyAlignment="1">
      <alignment horizontal="center" vertical="center"/>
    </xf>
    <xf numFmtId="176" fontId="17" fillId="3" borderId="64" xfId="0" applyNumberFormat="1" applyFont="1" applyFill="1" applyBorder="1" applyAlignment="1">
      <alignment horizontal="center" vertical="center"/>
    </xf>
    <xf numFmtId="0" fontId="18" fillId="3" borderId="64" xfId="0" applyFont="1" applyFill="1" applyBorder="1" applyAlignment="1">
      <alignment horizontal="center" vertical="center"/>
    </xf>
    <xf numFmtId="182" fontId="18" fillId="3" borderId="64" xfId="0" applyNumberFormat="1" applyFont="1" applyFill="1" applyBorder="1" applyAlignment="1">
      <alignment horizontal="center" vertical="center"/>
    </xf>
    <xf numFmtId="181" fontId="18" fillId="3" borderId="59" xfId="0" applyNumberFormat="1" applyFont="1" applyFill="1" applyBorder="1" applyAlignment="1">
      <alignment horizontal="center" vertical="center"/>
    </xf>
    <xf numFmtId="181" fontId="18" fillId="3" borderId="52" xfId="0" applyNumberFormat="1" applyFont="1" applyFill="1" applyBorder="1" applyAlignment="1">
      <alignment horizontal="center" vertical="center"/>
    </xf>
    <xf numFmtId="181" fontId="18" fillId="3" borderId="50" xfId="0" applyNumberFormat="1" applyFont="1" applyFill="1" applyBorder="1" applyAlignment="1">
      <alignment horizontal="center" vertical="center"/>
    </xf>
    <xf numFmtId="176" fontId="18" fillId="3" borderId="59" xfId="0" applyNumberFormat="1" applyFont="1" applyFill="1" applyBorder="1" applyAlignment="1">
      <alignment horizontal="center" vertical="center"/>
    </xf>
    <xf numFmtId="176" fontId="18" fillId="3" borderId="52" xfId="0" applyNumberFormat="1" applyFont="1" applyFill="1" applyBorder="1" applyAlignment="1">
      <alignment horizontal="center" vertical="center"/>
    </xf>
    <xf numFmtId="176" fontId="18" fillId="3" borderId="50" xfId="0" applyNumberFormat="1" applyFont="1" applyFill="1" applyBorder="1" applyAlignment="1">
      <alignment horizontal="center" vertical="center"/>
    </xf>
    <xf numFmtId="176" fontId="18" fillId="3" borderId="64" xfId="0" applyNumberFormat="1" applyFont="1" applyFill="1" applyBorder="1" applyAlignment="1">
      <alignment horizontal="center" vertical="center"/>
    </xf>
    <xf numFmtId="179" fontId="18" fillId="3" borderId="52" xfId="0" applyNumberFormat="1" applyFont="1" applyFill="1" applyBorder="1" applyAlignment="1">
      <alignment horizontal="center" vertical="center"/>
    </xf>
    <xf numFmtId="179" fontId="18" fillId="3" borderId="50" xfId="0" applyNumberFormat="1" applyFont="1" applyFill="1" applyBorder="1" applyAlignment="1">
      <alignment horizontal="center" vertical="center"/>
    </xf>
    <xf numFmtId="178" fontId="18" fillId="3" borderId="59" xfId="0" applyNumberFormat="1" applyFont="1" applyFill="1" applyBorder="1" applyAlignment="1">
      <alignment horizontal="center" vertical="center"/>
    </xf>
    <xf numFmtId="178" fontId="18" fillId="3" borderId="52" xfId="0" applyNumberFormat="1" applyFont="1" applyFill="1" applyBorder="1" applyAlignment="1">
      <alignment horizontal="center" vertical="center"/>
    </xf>
    <xf numFmtId="178" fontId="18" fillId="3" borderId="50" xfId="0" applyNumberFormat="1" applyFont="1" applyFill="1" applyBorder="1" applyAlignment="1">
      <alignment horizontal="center" vertical="center"/>
    </xf>
    <xf numFmtId="180" fontId="18" fillId="3" borderId="64" xfId="0" applyNumberFormat="1" applyFont="1" applyFill="1" applyBorder="1" applyAlignment="1">
      <alignment horizontal="center" vertical="center"/>
    </xf>
    <xf numFmtId="0" fontId="18" fillId="3" borderId="59" xfId="0" applyFont="1" applyFill="1" applyBorder="1" applyAlignment="1">
      <alignment horizontal="center" vertical="center"/>
    </xf>
    <xf numFmtId="0" fontId="18" fillId="3" borderId="52" xfId="0" applyFont="1" applyFill="1" applyBorder="1" applyAlignment="1">
      <alignment horizontal="center" vertical="center"/>
    </xf>
    <xf numFmtId="177" fontId="18" fillId="3" borderId="59" xfId="0" applyNumberFormat="1" applyFont="1" applyFill="1" applyBorder="1" applyAlignment="1">
      <alignment horizontal="center" vertical="center"/>
    </xf>
    <xf numFmtId="177" fontId="18" fillId="3" borderId="52" xfId="0" applyNumberFormat="1" applyFont="1" applyFill="1" applyBorder="1" applyAlignment="1">
      <alignment horizontal="center" vertical="center"/>
    </xf>
    <xf numFmtId="177" fontId="18" fillId="3" borderId="50" xfId="0" applyNumberFormat="1" applyFont="1" applyFill="1" applyBorder="1" applyAlignment="1">
      <alignment horizontal="center" vertical="center"/>
    </xf>
    <xf numFmtId="0" fontId="18" fillId="3" borderId="36" xfId="0" applyFont="1" applyFill="1" applyBorder="1" applyAlignment="1">
      <alignment horizontal="center" vertical="center"/>
    </xf>
    <xf numFmtId="176" fontId="17" fillId="4" borderId="20" xfId="0" applyNumberFormat="1" applyFont="1" applyFill="1" applyBorder="1" applyAlignment="1">
      <alignment horizontal="center" vertical="center"/>
    </xf>
    <xf numFmtId="182" fontId="17" fillId="3" borderId="61" xfId="0" applyNumberFormat="1" applyFont="1" applyFill="1" applyBorder="1" applyAlignment="1">
      <alignment horizontal="center" vertical="center"/>
    </xf>
    <xf numFmtId="182" fontId="17" fillId="3" borderId="62" xfId="0" applyNumberFormat="1" applyFont="1" applyFill="1" applyBorder="1" applyAlignment="1">
      <alignment horizontal="center" vertical="center"/>
    </xf>
    <xf numFmtId="176" fontId="17" fillId="3" borderId="61" xfId="0" applyNumberFormat="1" applyFont="1" applyFill="1" applyBorder="1" applyAlignment="1">
      <alignment horizontal="center" vertical="center"/>
    </xf>
    <xf numFmtId="176" fontId="17" fillId="3" borderId="62" xfId="0" applyNumberFormat="1" applyFont="1" applyFill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181" fontId="17" fillId="3" borderId="11" xfId="0" applyNumberFormat="1" applyFont="1" applyFill="1" applyBorder="1" applyAlignment="1">
      <alignment horizontal="center" vertical="center"/>
    </xf>
    <xf numFmtId="181" fontId="17" fillId="3" borderId="3" xfId="0" applyNumberFormat="1" applyFont="1" applyFill="1" applyBorder="1" applyAlignment="1">
      <alignment horizontal="center" vertical="center"/>
    </xf>
    <xf numFmtId="181" fontId="17" fillId="3" borderId="57" xfId="0" applyNumberFormat="1" applyFont="1" applyFill="1" applyBorder="1" applyAlignment="1">
      <alignment horizontal="center" vertical="center"/>
    </xf>
    <xf numFmtId="0" fontId="17" fillId="3" borderId="61" xfId="0" applyFont="1" applyFill="1" applyBorder="1" applyAlignment="1">
      <alignment horizontal="center" vertical="center"/>
    </xf>
    <xf numFmtId="176" fontId="17" fillId="3" borderId="11" xfId="0" applyNumberFormat="1" applyFont="1" applyFill="1" applyBorder="1" applyAlignment="1">
      <alignment horizontal="center" vertical="center"/>
    </xf>
    <xf numFmtId="176" fontId="17" fillId="3" borderId="3" xfId="0" applyNumberFormat="1" applyFont="1" applyFill="1" applyBorder="1" applyAlignment="1">
      <alignment horizontal="center" vertical="center"/>
    </xf>
    <xf numFmtId="176" fontId="17" fillId="3" borderId="57" xfId="0" applyNumberFormat="1" applyFont="1" applyFill="1" applyBorder="1" applyAlignment="1">
      <alignment horizontal="center" vertical="center"/>
    </xf>
    <xf numFmtId="181" fontId="17" fillId="3" borderId="12" xfId="0" applyNumberFormat="1" applyFont="1" applyFill="1" applyBorder="1" applyAlignment="1">
      <alignment horizontal="center" vertical="center"/>
    </xf>
    <xf numFmtId="181" fontId="17" fillId="3" borderId="7" xfId="0" applyNumberFormat="1" applyFont="1" applyFill="1" applyBorder="1" applyAlignment="1">
      <alignment horizontal="center" vertical="center"/>
    </xf>
    <xf numFmtId="181" fontId="17" fillId="3" borderId="24" xfId="0" applyNumberFormat="1" applyFont="1" applyFill="1" applyBorder="1" applyAlignment="1">
      <alignment horizontal="center" vertical="center"/>
    </xf>
    <xf numFmtId="0" fontId="17" fillId="3" borderId="62" xfId="0" applyFont="1" applyFill="1" applyBorder="1" applyAlignment="1">
      <alignment horizontal="center" vertical="center"/>
    </xf>
    <xf numFmtId="176" fontId="17" fillId="3" borderId="12" xfId="0" applyNumberFormat="1" applyFont="1" applyFill="1" applyBorder="1" applyAlignment="1">
      <alignment horizontal="center" vertical="center"/>
    </xf>
    <xf numFmtId="176" fontId="17" fillId="3" borderId="7" xfId="0" applyNumberFormat="1" applyFont="1" applyFill="1" applyBorder="1" applyAlignment="1">
      <alignment horizontal="center" vertical="center"/>
    </xf>
    <xf numFmtId="176" fontId="17" fillId="3" borderId="24" xfId="0" applyNumberFormat="1" applyFont="1" applyFill="1" applyBorder="1" applyAlignment="1">
      <alignment horizontal="center" vertical="center"/>
    </xf>
    <xf numFmtId="0" fontId="0" fillId="3" borderId="62" xfId="0" applyFill="1" applyBorder="1" applyAlignment="1">
      <alignment vertical="center"/>
    </xf>
    <xf numFmtId="0" fontId="0" fillId="0" borderId="31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179" fontId="0" fillId="6" borderId="80" xfId="0" applyNumberFormat="1" applyFill="1" applyBorder="1" applyAlignment="1">
      <alignment horizontal="center" vertical="center"/>
    </xf>
    <xf numFmtId="0" fontId="16" fillId="3" borderId="27" xfId="0" applyFont="1" applyFill="1" applyBorder="1" applyAlignment="1">
      <alignment horizontal="center" vertical="center"/>
    </xf>
    <xf numFmtId="182" fontId="0" fillId="3" borderId="27" xfId="0" applyNumberFormat="1" applyFill="1" applyBorder="1" applyAlignment="1">
      <alignment horizontal="center" vertical="center"/>
    </xf>
    <xf numFmtId="181" fontId="0" fillId="3" borderId="16" xfId="0" applyNumberFormat="1" applyFill="1" applyBorder="1" applyAlignment="1">
      <alignment horizontal="center" vertical="center"/>
    </xf>
    <xf numFmtId="181" fontId="0" fillId="3" borderId="15" xfId="0" applyNumberFormat="1" applyFill="1" applyBorder="1" applyAlignment="1">
      <alignment horizontal="center" vertical="center"/>
    </xf>
    <xf numFmtId="181" fontId="0" fillId="3" borderId="25" xfId="0" applyNumberFormat="1" applyFill="1" applyBorder="1" applyAlignment="1">
      <alignment horizontal="center" vertical="center"/>
    </xf>
    <xf numFmtId="0" fontId="0" fillId="3" borderId="27" xfId="0" applyFill="1" applyBorder="1" applyAlignment="1">
      <alignment horizontal="center" vertical="center"/>
    </xf>
    <xf numFmtId="176" fontId="0" fillId="3" borderId="16" xfId="0" applyNumberFormat="1" applyFill="1" applyBorder="1" applyAlignment="1">
      <alignment horizontal="center" vertical="center"/>
    </xf>
    <xf numFmtId="176" fontId="0" fillId="3" borderId="15" xfId="0" applyNumberFormat="1" applyFill="1" applyBorder="1" applyAlignment="1">
      <alignment horizontal="center" vertical="center"/>
    </xf>
    <xf numFmtId="176" fontId="0" fillId="3" borderId="25" xfId="0" applyNumberFormat="1" applyFill="1" applyBorder="1" applyAlignment="1">
      <alignment horizontal="center" vertical="center"/>
    </xf>
    <xf numFmtId="176" fontId="0" fillId="3" borderId="27" xfId="0" applyNumberFormat="1" applyFill="1" applyBorder="1" applyAlignment="1">
      <alignment horizontal="center" vertical="center"/>
    </xf>
    <xf numFmtId="179" fontId="0" fillId="3" borderId="15" xfId="0" applyNumberFormat="1" applyFill="1" applyBorder="1" applyAlignment="1">
      <alignment horizontal="center" vertical="center"/>
    </xf>
    <xf numFmtId="179" fontId="0" fillId="3" borderId="25" xfId="0" applyNumberFormat="1" applyFill="1" applyBorder="1" applyAlignment="1">
      <alignment horizontal="center" vertical="center"/>
    </xf>
    <xf numFmtId="178" fontId="0" fillId="3" borderId="16" xfId="0" applyNumberFormat="1" applyFill="1" applyBorder="1" applyAlignment="1">
      <alignment horizontal="center" vertical="center"/>
    </xf>
    <xf numFmtId="178" fontId="0" fillId="3" borderId="15" xfId="0" applyNumberFormat="1" applyFill="1" applyBorder="1" applyAlignment="1">
      <alignment horizontal="center" vertical="center"/>
    </xf>
    <xf numFmtId="178" fontId="0" fillId="3" borderId="25" xfId="0" applyNumberFormat="1" applyFill="1" applyBorder="1" applyAlignment="1">
      <alignment horizontal="center" vertical="center"/>
    </xf>
    <xf numFmtId="180" fontId="0" fillId="3" borderId="27" xfId="0" applyNumberFormat="1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0" fontId="0" fillId="3" borderId="25" xfId="0" applyFill="1" applyBorder="1" applyAlignment="1">
      <alignment horizontal="center" vertical="center"/>
    </xf>
    <xf numFmtId="177" fontId="0" fillId="3" borderId="16" xfId="0" applyNumberFormat="1" applyFill="1" applyBorder="1" applyAlignment="1">
      <alignment horizontal="center" vertical="center"/>
    </xf>
    <xf numFmtId="177" fontId="0" fillId="3" borderId="25" xfId="0" applyNumberFormat="1" applyFill="1" applyBorder="1" applyAlignment="1">
      <alignment horizontal="center" vertical="center"/>
    </xf>
    <xf numFmtId="181" fontId="17" fillId="3" borderId="56" xfId="0" applyNumberFormat="1" applyFont="1" applyFill="1" applyBorder="1" applyAlignment="1">
      <alignment horizontal="center" vertical="center"/>
    </xf>
    <xf numFmtId="181" fontId="17" fillId="3" borderId="58" xfId="0" applyNumberFormat="1" applyFont="1" applyFill="1" applyBorder="1" applyAlignment="1">
      <alignment horizontal="center" vertical="center"/>
    </xf>
    <xf numFmtId="0" fontId="16" fillId="8" borderId="63" xfId="0" applyFont="1" applyFill="1" applyBorder="1" applyAlignment="1">
      <alignment horizontal="center" vertical="center"/>
    </xf>
    <xf numFmtId="182" fontId="0" fillId="8" borderId="63" xfId="0" applyNumberFormat="1" applyFill="1" applyBorder="1" applyAlignment="1">
      <alignment horizontal="center" vertical="center"/>
    </xf>
    <xf numFmtId="181" fontId="0" fillId="8" borderId="60" xfId="0" applyNumberFormat="1" applyFill="1" applyBorder="1" applyAlignment="1">
      <alignment horizontal="center" vertical="center"/>
    </xf>
    <xf numFmtId="181" fontId="0" fillId="8" borderId="55" xfId="0" applyNumberFormat="1" applyFill="1" applyBorder="1" applyAlignment="1">
      <alignment horizontal="center" vertical="center"/>
    </xf>
    <xf numFmtId="181" fontId="0" fillId="8" borderId="32" xfId="0" applyNumberFormat="1" applyFill="1" applyBorder="1" applyAlignment="1">
      <alignment horizontal="center" vertical="center"/>
    </xf>
    <xf numFmtId="0" fontId="0" fillId="8" borderId="63" xfId="0" applyFill="1" applyBorder="1" applyAlignment="1">
      <alignment horizontal="center" vertical="center"/>
    </xf>
    <xf numFmtId="176" fontId="0" fillId="8" borderId="60" xfId="0" applyNumberFormat="1" applyFill="1" applyBorder="1" applyAlignment="1">
      <alignment horizontal="center" vertical="center"/>
    </xf>
    <xf numFmtId="176" fontId="0" fillId="8" borderId="55" xfId="0" applyNumberFormat="1" applyFill="1" applyBorder="1" applyAlignment="1">
      <alignment horizontal="center" vertical="center"/>
    </xf>
    <xf numFmtId="176" fontId="0" fillId="8" borderId="32" xfId="0" applyNumberFormat="1" applyFill="1" applyBorder="1" applyAlignment="1">
      <alignment horizontal="center" vertical="center"/>
    </xf>
    <xf numFmtId="176" fontId="0" fillId="8" borderId="63" xfId="0" applyNumberFormat="1" applyFill="1" applyBorder="1" applyAlignment="1">
      <alignment horizontal="center" vertical="center"/>
    </xf>
    <xf numFmtId="179" fontId="0" fillId="8" borderId="55" xfId="0" applyNumberFormat="1" applyFill="1" applyBorder="1" applyAlignment="1">
      <alignment horizontal="center" vertical="center"/>
    </xf>
    <xf numFmtId="178" fontId="0" fillId="8" borderId="60" xfId="0" applyNumberFormat="1" applyFill="1" applyBorder="1" applyAlignment="1">
      <alignment horizontal="center" vertical="center"/>
    </xf>
    <xf numFmtId="178" fontId="0" fillId="8" borderId="55" xfId="0" applyNumberFormat="1" applyFill="1" applyBorder="1" applyAlignment="1">
      <alignment horizontal="center" vertical="center"/>
    </xf>
    <xf numFmtId="178" fontId="0" fillId="8" borderId="32" xfId="0" applyNumberFormat="1" applyFill="1" applyBorder="1" applyAlignment="1">
      <alignment horizontal="center" vertical="center"/>
    </xf>
    <xf numFmtId="180" fontId="0" fillId="8" borderId="63" xfId="0" applyNumberFormat="1" applyFill="1" applyBorder="1" applyAlignment="1">
      <alignment horizontal="center" vertical="center"/>
    </xf>
    <xf numFmtId="0" fontId="0" fillId="8" borderId="60" xfId="0" applyFill="1" applyBorder="1" applyAlignment="1">
      <alignment horizontal="center" vertical="center"/>
    </xf>
    <xf numFmtId="0" fontId="0" fillId="8" borderId="55" xfId="0" applyFill="1" applyBorder="1" applyAlignment="1">
      <alignment horizontal="center" vertical="center"/>
    </xf>
    <xf numFmtId="0" fontId="0" fillId="8" borderId="32" xfId="0" applyFill="1" applyBorder="1" applyAlignment="1">
      <alignment horizontal="center" vertical="center"/>
    </xf>
    <xf numFmtId="177" fontId="0" fillId="8" borderId="60" xfId="0" applyNumberFormat="1" applyFill="1" applyBorder="1" applyAlignment="1">
      <alignment horizontal="center" vertical="center"/>
    </xf>
    <xf numFmtId="177" fontId="0" fillId="8" borderId="55" xfId="0" applyNumberFormat="1" applyFill="1" applyBorder="1" applyAlignment="1">
      <alignment horizontal="center" vertical="center"/>
    </xf>
    <xf numFmtId="177" fontId="0" fillId="8" borderId="32" xfId="0" applyNumberFormat="1" applyFill="1" applyBorder="1" applyAlignment="1">
      <alignment horizontal="center" vertical="center"/>
    </xf>
    <xf numFmtId="0" fontId="16" fillId="8" borderId="64" xfId="0" applyFont="1" applyFill="1" applyBorder="1" applyAlignment="1">
      <alignment horizontal="center" vertical="center"/>
    </xf>
    <xf numFmtId="182" fontId="0" fillId="8" borderId="64" xfId="0" applyNumberFormat="1" applyFill="1" applyBorder="1" applyAlignment="1">
      <alignment horizontal="center" vertical="center"/>
    </xf>
    <xf numFmtId="181" fontId="0" fillId="8" borderId="59" xfId="0" applyNumberFormat="1" applyFill="1" applyBorder="1" applyAlignment="1">
      <alignment horizontal="center" vertical="center"/>
    </xf>
    <xf numFmtId="181" fontId="0" fillId="8" borderId="52" xfId="0" applyNumberFormat="1" applyFill="1" applyBorder="1" applyAlignment="1">
      <alignment horizontal="center" vertical="center"/>
    </xf>
    <xf numFmtId="181" fontId="0" fillId="8" borderId="50" xfId="0" applyNumberFormat="1" applyFill="1" applyBorder="1" applyAlignment="1">
      <alignment horizontal="center" vertical="center"/>
    </xf>
    <xf numFmtId="176" fontId="0" fillId="8" borderId="59" xfId="0" applyNumberFormat="1" applyFill="1" applyBorder="1" applyAlignment="1">
      <alignment horizontal="center" vertical="center"/>
    </xf>
    <xf numFmtId="176" fontId="0" fillId="8" borderId="52" xfId="0" applyNumberFormat="1" applyFill="1" applyBorder="1" applyAlignment="1">
      <alignment horizontal="center" vertical="center"/>
    </xf>
    <xf numFmtId="176" fontId="0" fillId="8" borderId="50" xfId="0" applyNumberFormat="1" applyFill="1" applyBorder="1" applyAlignment="1">
      <alignment horizontal="center" vertical="center"/>
    </xf>
    <xf numFmtId="179" fontId="0" fillId="8" borderId="52" xfId="0" applyNumberFormat="1" applyFill="1" applyBorder="1" applyAlignment="1">
      <alignment horizontal="center" vertical="center"/>
    </xf>
    <xf numFmtId="179" fontId="0" fillId="8" borderId="50" xfId="0" applyNumberFormat="1" applyFill="1" applyBorder="1" applyAlignment="1">
      <alignment horizontal="center" vertical="center"/>
    </xf>
    <xf numFmtId="178" fontId="0" fillId="8" borderId="59" xfId="0" applyNumberFormat="1" applyFill="1" applyBorder="1" applyAlignment="1">
      <alignment horizontal="center" vertical="center"/>
    </xf>
    <xf numFmtId="178" fontId="0" fillId="8" borderId="52" xfId="0" applyNumberFormat="1" applyFill="1" applyBorder="1" applyAlignment="1">
      <alignment horizontal="center" vertical="center"/>
    </xf>
    <xf numFmtId="178" fontId="0" fillId="8" borderId="50" xfId="0" applyNumberFormat="1" applyFill="1" applyBorder="1" applyAlignment="1">
      <alignment horizontal="center" vertical="center"/>
    </xf>
    <xf numFmtId="180" fontId="0" fillId="8" borderId="64" xfId="0" applyNumberFormat="1" applyFill="1" applyBorder="1" applyAlignment="1">
      <alignment horizontal="center" vertical="center"/>
    </xf>
    <xf numFmtId="0" fontId="0" fillId="8" borderId="59" xfId="0" applyFill="1" applyBorder="1" applyAlignment="1">
      <alignment horizontal="center" vertical="center"/>
    </xf>
    <xf numFmtId="0" fontId="0" fillId="8" borderId="52" xfId="0" applyFill="1" applyBorder="1" applyAlignment="1">
      <alignment horizontal="center" vertical="center"/>
    </xf>
    <xf numFmtId="0" fontId="0" fillId="8" borderId="50" xfId="0" applyFill="1" applyBorder="1" applyAlignment="1">
      <alignment horizontal="center" vertical="center"/>
    </xf>
    <xf numFmtId="177" fontId="0" fillId="8" borderId="59" xfId="0" applyNumberFormat="1" applyFill="1" applyBorder="1" applyAlignment="1">
      <alignment horizontal="center" vertical="center"/>
    </xf>
    <xf numFmtId="177" fontId="0" fillId="8" borderId="52" xfId="0" applyNumberFormat="1" applyFill="1" applyBorder="1" applyAlignment="1">
      <alignment horizontal="center" vertical="center"/>
    </xf>
    <xf numFmtId="177" fontId="0" fillId="8" borderId="50" xfId="0" applyNumberFormat="1" applyFill="1" applyBorder="1" applyAlignment="1">
      <alignment horizontal="center" vertical="center"/>
    </xf>
    <xf numFmtId="0" fontId="16" fillId="11" borderId="26" xfId="0" applyFont="1" applyFill="1" applyBorder="1" applyAlignment="1">
      <alignment horizontal="center" vertical="center"/>
    </xf>
    <xf numFmtId="182" fontId="0" fillId="11" borderId="26" xfId="0" applyNumberFormat="1" applyFill="1" applyBorder="1" applyAlignment="1">
      <alignment horizontal="center" vertical="center"/>
    </xf>
    <xf numFmtId="181" fontId="0" fillId="11" borderId="79" xfId="0" applyNumberFormat="1" applyFill="1" applyBorder="1" applyAlignment="1">
      <alignment horizontal="center" vertical="center"/>
    </xf>
    <xf numFmtId="181" fontId="0" fillId="11" borderId="47" xfId="0" applyNumberFormat="1" applyFill="1" applyBorder="1" applyAlignment="1">
      <alignment horizontal="center" vertical="center"/>
    </xf>
    <xf numFmtId="181" fontId="0" fillId="11" borderId="80" xfId="0" applyNumberFormat="1" applyFill="1" applyBorder="1" applyAlignment="1">
      <alignment horizontal="center" vertical="center"/>
    </xf>
    <xf numFmtId="0" fontId="0" fillId="11" borderId="26" xfId="0" applyFill="1" applyBorder="1" applyAlignment="1">
      <alignment horizontal="center" vertical="center"/>
    </xf>
    <xf numFmtId="176" fontId="0" fillId="11" borderId="79" xfId="0" applyNumberFormat="1" applyFill="1" applyBorder="1" applyAlignment="1">
      <alignment horizontal="center" vertical="center"/>
    </xf>
    <xf numFmtId="176" fontId="0" fillId="11" borderId="47" xfId="0" applyNumberFormat="1" applyFill="1" applyBorder="1" applyAlignment="1">
      <alignment horizontal="center" vertical="center"/>
    </xf>
    <xf numFmtId="176" fontId="0" fillId="11" borderId="80" xfId="0" applyNumberFormat="1" applyFill="1" applyBorder="1" applyAlignment="1">
      <alignment horizontal="center" vertical="center"/>
    </xf>
    <xf numFmtId="176" fontId="0" fillId="11" borderId="26" xfId="0" applyNumberFormat="1" applyFill="1" applyBorder="1" applyAlignment="1">
      <alignment horizontal="center" vertical="center"/>
    </xf>
    <xf numFmtId="179" fontId="0" fillId="11" borderId="80" xfId="0" applyNumberFormat="1" applyFill="1" applyBorder="1" applyAlignment="1">
      <alignment horizontal="center" vertical="center"/>
    </xf>
    <xf numFmtId="178" fontId="0" fillId="11" borderId="79" xfId="0" applyNumberFormat="1" applyFill="1" applyBorder="1" applyAlignment="1">
      <alignment horizontal="center" vertical="center"/>
    </xf>
    <xf numFmtId="178" fontId="0" fillId="11" borderId="47" xfId="0" applyNumberFormat="1" applyFill="1" applyBorder="1" applyAlignment="1">
      <alignment horizontal="center" vertical="center"/>
    </xf>
    <xf numFmtId="178" fontId="0" fillId="11" borderId="80" xfId="0" applyNumberFormat="1" applyFill="1" applyBorder="1" applyAlignment="1">
      <alignment horizontal="center" vertical="center"/>
    </xf>
    <xf numFmtId="180" fontId="0" fillId="11" borderId="26" xfId="0" applyNumberFormat="1" applyFill="1" applyBorder="1" applyAlignment="1">
      <alignment horizontal="center" vertical="center"/>
    </xf>
    <xf numFmtId="0" fontId="0" fillId="11" borderId="79" xfId="0" applyFill="1" applyBorder="1" applyAlignment="1">
      <alignment horizontal="center" vertical="center"/>
    </xf>
    <xf numFmtId="0" fontId="0" fillId="11" borderId="47" xfId="0" applyFill="1" applyBorder="1" applyAlignment="1">
      <alignment horizontal="center" vertical="center"/>
    </xf>
    <xf numFmtId="0" fontId="0" fillId="11" borderId="80" xfId="0" applyFill="1" applyBorder="1" applyAlignment="1">
      <alignment horizontal="center" vertical="center"/>
    </xf>
    <xf numFmtId="177" fontId="0" fillId="11" borderId="79" xfId="0" applyNumberFormat="1" applyFill="1" applyBorder="1" applyAlignment="1">
      <alignment horizontal="center" vertical="center"/>
    </xf>
    <xf numFmtId="177" fontId="0" fillId="11" borderId="80" xfId="0" applyNumberFormat="1" applyFill="1" applyBorder="1" applyAlignment="1">
      <alignment horizontal="center" vertical="center"/>
    </xf>
    <xf numFmtId="181" fontId="0" fillId="11" borderId="6" xfId="0" applyNumberFormat="1" applyFill="1" applyBorder="1" applyAlignment="1">
      <alignment horizontal="center" vertical="center"/>
    </xf>
    <xf numFmtId="0" fontId="18" fillId="11" borderId="10" xfId="0" applyFont="1" applyFill="1" applyBorder="1" applyAlignment="1">
      <alignment horizontal="center" vertical="center"/>
    </xf>
    <xf numFmtId="0" fontId="16" fillId="11" borderId="62" xfId="0" applyFont="1" applyFill="1" applyBorder="1" applyAlignment="1">
      <alignment horizontal="center" vertical="center"/>
    </xf>
    <xf numFmtId="182" fontId="0" fillId="11" borderId="62" xfId="0" applyNumberFormat="1" applyFill="1" applyBorder="1" applyAlignment="1">
      <alignment horizontal="center" vertical="center"/>
    </xf>
    <xf numFmtId="181" fontId="0" fillId="11" borderId="12" xfId="0" applyNumberFormat="1" applyFill="1" applyBorder="1" applyAlignment="1">
      <alignment horizontal="center" vertical="center"/>
    </xf>
    <xf numFmtId="181" fontId="0" fillId="11" borderId="7" xfId="0" applyNumberFormat="1" applyFill="1" applyBorder="1" applyAlignment="1">
      <alignment horizontal="center" vertical="center"/>
    </xf>
    <xf numFmtId="181" fontId="0" fillId="11" borderId="24" xfId="0" applyNumberFormat="1" applyFill="1" applyBorder="1" applyAlignment="1">
      <alignment horizontal="center" vertical="center"/>
    </xf>
    <xf numFmtId="0" fontId="0" fillId="11" borderId="62" xfId="0" applyFill="1" applyBorder="1" applyAlignment="1">
      <alignment horizontal="center" vertical="center"/>
    </xf>
    <xf numFmtId="176" fontId="0" fillId="11" borderId="12" xfId="0" applyNumberFormat="1" applyFill="1" applyBorder="1" applyAlignment="1">
      <alignment horizontal="center" vertical="center"/>
    </xf>
    <xf numFmtId="176" fontId="0" fillId="11" borderId="7" xfId="0" applyNumberFormat="1" applyFill="1" applyBorder="1" applyAlignment="1">
      <alignment horizontal="center" vertical="center"/>
    </xf>
    <xf numFmtId="176" fontId="0" fillId="11" borderId="24" xfId="0" applyNumberFormat="1" applyFill="1" applyBorder="1" applyAlignment="1">
      <alignment horizontal="center" vertical="center"/>
    </xf>
    <xf numFmtId="176" fontId="0" fillId="11" borderId="62" xfId="0" applyNumberFormat="1" applyFill="1" applyBorder="1" applyAlignment="1">
      <alignment horizontal="center" vertical="center"/>
    </xf>
    <xf numFmtId="179" fontId="0" fillId="11" borderId="24" xfId="0" applyNumberFormat="1" applyFill="1" applyBorder="1" applyAlignment="1">
      <alignment horizontal="center" vertical="center"/>
    </xf>
    <xf numFmtId="178" fontId="0" fillId="11" borderId="12" xfId="0" applyNumberFormat="1" applyFill="1" applyBorder="1" applyAlignment="1">
      <alignment horizontal="center" vertical="center"/>
    </xf>
    <xf numFmtId="178" fontId="0" fillId="11" borderId="7" xfId="0" applyNumberFormat="1" applyFill="1" applyBorder="1" applyAlignment="1">
      <alignment horizontal="center" vertical="center"/>
    </xf>
    <xf numFmtId="178" fontId="0" fillId="11" borderId="24" xfId="0" applyNumberFormat="1" applyFill="1" applyBorder="1" applyAlignment="1">
      <alignment horizontal="center" vertical="center"/>
    </xf>
    <xf numFmtId="180" fontId="0" fillId="11" borderId="62" xfId="0" applyNumberFormat="1" applyFill="1" applyBorder="1" applyAlignment="1">
      <alignment horizontal="center" vertical="center"/>
    </xf>
    <xf numFmtId="0" fontId="0" fillId="11" borderId="12" xfId="0" applyFill="1" applyBorder="1" applyAlignment="1">
      <alignment horizontal="center" vertical="center"/>
    </xf>
    <xf numFmtId="0" fontId="0" fillId="11" borderId="7" xfId="0" applyFill="1" applyBorder="1" applyAlignment="1">
      <alignment horizontal="center" vertical="center"/>
    </xf>
    <xf numFmtId="0" fontId="0" fillId="11" borderId="24" xfId="0" applyFill="1" applyBorder="1" applyAlignment="1">
      <alignment horizontal="center" vertical="center"/>
    </xf>
    <xf numFmtId="177" fontId="0" fillId="11" borderId="12" xfId="0" applyNumberFormat="1" applyFill="1" applyBorder="1" applyAlignment="1">
      <alignment horizontal="center" vertical="center"/>
    </xf>
    <xf numFmtId="177" fontId="0" fillId="11" borderId="24" xfId="0" applyNumberFormat="1" applyFill="1" applyBorder="1" applyAlignment="1">
      <alignment horizontal="center" vertical="center"/>
    </xf>
    <xf numFmtId="0" fontId="16" fillId="11" borderId="61" xfId="0" applyFont="1" applyFill="1" applyBorder="1" applyAlignment="1">
      <alignment horizontal="center" vertical="center"/>
    </xf>
    <xf numFmtId="181" fontId="0" fillId="11" borderId="11" xfId="0" applyNumberFormat="1" applyFill="1" applyBorder="1" applyAlignment="1">
      <alignment horizontal="center" vertical="center"/>
    </xf>
    <xf numFmtId="181" fontId="0" fillId="11" borderId="3" xfId="0" applyNumberFormat="1" applyFill="1" applyBorder="1" applyAlignment="1">
      <alignment horizontal="center" vertical="center"/>
    </xf>
    <xf numFmtId="181" fontId="0" fillId="11" borderId="57" xfId="0" applyNumberFormat="1" applyFill="1" applyBorder="1" applyAlignment="1">
      <alignment horizontal="center" vertical="center"/>
    </xf>
    <xf numFmtId="0" fontId="0" fillId="11" borderId="61" xfId="0" applyFill="1" applyBorder="1" applyAlignment="1">
      <alignment horizontal="center" vertical="center"/>
    </xf>
    <xf numFmtId="176" fontId="0" fillId="11" borderId="11" xfId="0" applyNumberFormat="1" applyFill="1" applyBorder="1" applyAlignment="1">
      <alignment horizontal="center" vertical="center"/>
    </xf>
    <xf numFmtId="176" fontId="0" fillId="11" borderId="3" xfId="0" applyNumberFormat="1" applyFill="1" applyBorder="1" applyAlignment="1">
      <alignment horizontal="center" vertical="center"/>
    </xf>
    <xf numFmtId="176" fontId="0" fillId="11" borderId="57" xfId="0" applyNumberFormat="1" applyFill="1" applyBorder="1" applyAlignment="1">
      <alignment horizontal="center" vertical="center"/>
    </xf>
    <xf numFmtId="176" fontId="0" fillId="11" borderId="61" xfId="0" applyNumberFormat="1" applyFill="1" applyBorder="1" applyAlignment="1">
      <alignment horizontal="center" vertical="center"/>
    </xf>
    <xf numFmtId="179" fontId="0" fillId="11" borderId="57" xfId="0" applyNumberFormat="1" applyFill="1" applyBorder="1" applyAlignment="1">
      <alignment horizontal="center" vertical="center"/>
    </xf>
    <xf numFmtId="178" fontId="0" fillId="11" borderId="11" xfId="0" applyNumberFormat="1" applyFill="1" applyBorder="1" applyAlignment="1">
      <alignment horizontal="center" vertical="center"/>
    </xf>
    <xf numFmtId="178" fontId="0" fillId="11" borderId="3" xfId="0" applyNumberFormat="1" applyFill="1" applyBorder="1" applyAlignment="1">
      <alignment horizontal="center" vertical="center"/>
    </xf>
    <xf numFmtId="178" fontId="0" fillId="11" borderId="57" xfId="0" applyNumberFormat="1" applyFill="1" applyBorder="1" applyAlignment="1">
      <alignment horizontal="center" vertical="center"/>
    </xf>
    <xf numFmtId="180" fontId="0" fillId="11" borderId="61" xfId="0" applyNumberFormat="1" applyFill="1" applyBorder="1" applyAlignment="1">
      <alignment horizontal="center" vertical="center"/>
    </xf>
    <xf numFmtId="0" fontId="0" fillId="11" borderId="11" xfId="0" applyFill="1" applyBorder="1" applyAlignment="1">
      <alignment horizontal="center" vertical="center"/>
    </xf>
    <xf numFmtId="0" fontId="0" fillId="11" borderId="3" xfId="0" applyFill="1" applyBorder="1" applyAlignment="1">
      <alignment horizontal="center" vertical="center"/>
    </xf>
    <xf numFmtId="0" fontId="0" fillId="11" borderId="57" xfId="0" applyFill="1" applyBorder="1" applyAlignment="1">
      <alignment horizontal="center" vertical="center"/>
    </xf>
    <xf numFmtId="177" fontId="0" fillId="11" borderId="11" xfId="0" applyNumberFormat="1" applyFill="1" applyBorder="1" applyAlignment="1">
      <alignment horizontal="center" vertical="center"/>
    </xf>
    <xf numFmtId="177" fontId="0" fillId="11" borderId="3" xfId="0" applyNumberFormat="1" applyFill="1" applyBorder="1" applyAlignment="1">
      <alignment horizontal="center" vertical="center"/>
    </xf>
    <xf numFmtId="177" fontId="0" fillId="11" borderId="57" xfId="0" applyNumberFormat="1" applyFill="1" applyBorder="1" applyAlignment="1">
      <alignment horizontal="center" vertical="center"/>
    </xf>
    <xf numFmtId="0" fontId="16" fillId="11" borderId="65" xfId="0" applyFont="1" applyFill="1" applyBorder="1" applyAlignment="1">
      <alignment horizontal="center" vertical="center"/>
    </xf>
    <xf numFmtId="177" fontId="0" fillId="11" borderId="7" xfId="0" applyNumberFormat="1" applyFill="1" applyBorder="1" applyAlignment="1">
      <alignment horizontal="center" vertical="center"/>
    </xf>
    <xf numFmtId="182" fontId="17" fillId="11" borderId="20" xfId="0" applyNumberFormat="1" applyFont="1" applyFill="1" applyBorder="1" applyAlignment="1">
      <alignment horizontal="center" vertical="center"/>
    </xf>
    <xf numFmtId="177" fontId="17" fillId="11" borderId="42" xfId="0" applyNumberFormat="1" applyFont="1" applyFill="1" applyBorder="1" applyAlignment="1">
      <alignment horizontal="center" vertical="center"/>
    </xf>
    <xf numFmtId="177" fontId="17" fillId="11" borderId="56" xfId="0" applyNumberFormat="1" applyFont="1" applyFill="1" applyBorder="1" applyAlignment="1">
      <alignment horizontal="center" vertical="center"/>
    </xf>
    <xf numFmtId="177" fontId="17" fillId="11" borderId="58" xfId="0" applyNumberFormat="1" applyFont="1" applyFill="1" applyBorder="1" applyAlignment="1">
      <alignment horizontal="center" vertical="center"/>
    </xf>
    <xf numFmtId="0" fontId="18" fillId="11" borderId="62" xfId="0" applyFont="1" applyFill="1" applyBorder="1" applyAlignment="1">
      <alignment horizontal="center" vertical="center"/>
    </xf>
    <xf numFmtId="182" fontId="18" fillId="11" borderId="62" xfId="0" applyNumberFormat="1" applyFont="1" applyFill="1" applyBorder="1" applyAlignment="1">
      <alignment horizontal="center" vertical="center"/>
    </xf>
    <xf numFmtId="181" fontId="18" fillId="11" borderId="12" xfId="0" applyNumberFormat="1" applyFont="1" applyFill="1" applyBorder="1" applyAlignment="1">
      <alignment horizontal="center" vertical="center"/>
    </xf>
    <xf numFmtId="181" fontId="18" fillId="11" borderId="7" xfId="0" applyNumberFormat="1" applyFont="1" applyFill="1" applyBorder="1" applyAlignment="1">
      <alignment horizontal="center" vertical="center"/>
    </xf>
    <xf numFmtId="181" fontId="18" fillId="11" borderId="24" xfId="0" applyNumberFormat="1" applyFont="1" applyFill="1" applyBorder="1" applyAlignment="1">
      <alignment horizontal="center" vertical="center"/>
    </xf>
    <xf numFmtId="176" fontId="18" fillId="11" borderId="12" xfId="0" applyNumberFormat="1" applyFont="1" applyFill="1" applyBorder="1" applyAlignment="1">
      <alignment horizontal="center" vertical="center"/>
    </xf>
    <xf numFmtId="176" fontId="18" fillId="11" borderId="7" xfId="0" applyNumberFormat="1" applyFont="1" applyFill="1" applyBorder="1" applyAlignment="1">
      <alignment horizontal="center" vertical="center"/>
    </xf>
    <xf numFmtId="176" fontId="18" fillId="11" borderId="24" xfId="0" applyNumberFormat="1" applyFont="1" applyFill="1" applyBorder="1" applyAlignment="1">
      <alignment horizontal="center" vertical="center"/>
    </xf>
    <xf numFmtId="176" fontId="18" fillId="11" borderId="62" xfId="0" applyNumberFormat="1" applyFont="1" applyFill="1" applyBorder="1" applyAlignment="1">
      <alignment horizontal="center" vertical="center"/>
    </xf>
    <xf numFmtId="179" fontId="18" fillId="11" borderId="24" xfId="0" applyNumberFormat="1" applyFont="1" applyFill="1" applyBorder="1" applyAlignment="1">
      <alignment horizontal="center" vertical="center"/>
    </xf>
    <xf numFmtId="178" fontId="18" fillId="11" borderId="12" xfId="0" applyNumberFormat="1" applyFont="1" applyFill="1" applyBorder="1" applyAlignment="1">
      <alignment horizontal="center" vertical="center"/>
    </xf>
    <xf numFmtId="178" fontId="18" fillId="11" borderId="7" xfId="0" applyNumberFormat="1" applyFont="1" applyFill="1" applyBorder="1" applyAlignment="1">
      <alignment horizontal="center" vertical="center"/>
    </xf>
    <xf numFmtId="178" fontId="18" fillId="11" borderId="24" xfId="0" applyNumberFormat="1" applyFont="1" applyFill="1" applyBorder="1" applyAlignment="1">
      <alignment horizontal="center" vertical="center"/>
    </xf>
    <xf numFmtId="180" fontId="18" fillId="11" borderId="62" xfId="0" applyNumberFormat="1" applyFont="1" applyFill="1" applyBorder="1" applyAlignment="1">
      <alignment horizontal="center" vertical="center"/>
    </xf>
    <xf numFmtId="0" fontId="18" fillId="11" borderId="12" xfId="0" applyFont="1" applyFill="1" applyBorder="1" applyAlignment="1">
      <alignment horizontal="center" vertical="center"/>
    </xf>
    <xf numFmtId="0" fontId="18" fillId="11" borderId="7" xfId="0" applyFont="1" applyFill="1" applyBorder="1" applyAlignment="1">
      <alignment horizontal="center" vertical="center"/>
    </xf>
    <xf numFmtId="0" fontId="18" fillId="11" borderId="24" xfId="0" applyFont="1" applyFill="1" applyBorder="1" applyAlignment="1">
      <alignment horizontal="center" vertical="center"/>
    </xf>
    <xf numFmtId="177" fontId="18" fillId="11" borderId="12" xfId="0" applyNumberFormat="1" applyFont="1" applyFill="1" applyBorder="1" applyAlignment="1">
      <alignment horizontal="center" vertical="center"/>
    </xf>
    <xf numFmtId="177" fontId="18" fillId="11" borderId="7" xfId="0" applyNumberFormat="1" applyFont="1" applyFill="1" applyBorder="1" applyAlignment="1">
      <alignment horizontal="center" vertical="center"/>
    </xf>
    <xf numFmtId="177" fontId="18" fillId="11" borderId="24" xfId="0" applyNumberFormat="1" applyFont="1" applyFill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176" fontId="17" fillId="6" borderId="63" xfId="0" applyNumberFormat="1" applyFont="1" applyFill="1" applyBorder="1" applyAlignment="1">
      <alignment horizontal="center" vertical="center"/>
    </xf>
    <xf numFmtId="176" fontId="17" fillId="6" borderId="64" xfId="0" applyNumberFormat="1" applyFont="1" applyFill="1" applyBorder="1" applyAlignment="1">
      <alignment horizontal="center" vertical="center"/>
    </xf>
    <xf numFmtId="0" fontId="18" fillId="5" borderId="61" xfId="0" applyFont="1" applyFill="1" applyBorder="1" applyAlignment="1">
      <alignment horizontal="center" vertical="center"/>
    </xf>
    <xf numFmtId="176" fontId="17" fillId="10" borderId="19" xfId="0" applyNumberFormat="1" applyFont="1" applyFill="1" applyBorder="1" applyAlignment="1">
      <alignment horizontal="center" vertical="center"/>
    </xf>
    <xf numFmtId="0" fontId="0" fillId="8" borderId="54" xfId="0" applyFill="1" applyBorder="1" applyAlignment="1">
      <alignment horizontal="center" vertical="center"/>
    </xf>
    <xf numFmtId="0" fontId="0" fillId="8" borderId="67" xfId="0" applyFill="1" applyBorder="1" applyAlignment="1">
      <alignment horizontal="center" vertical="center"/>
    </xf>
    <xf numFmtId="0" fontId="0" fillId="3" borderId="43" xfId="0" applyFill="1" applyBorder="1" applyAlignment="1">
      <alignment horizontal="center" vertical="center"/>
    </xf>
    <xf numFmtId="0" fontId="0" fillId="4" borderId="54" xfId="0" applyFill="1" applyBorder="1" applyAlignment="1">
      <alignment horizontal="center" vertical="center"/>
    </xf>
    <xf numFmtId="0" fontId="0" fillId="4" borderId="67" xfId="0" applyFill="1" applyBorder="1" applyAlignment="1">
      <alignment horizontal="center" vertical="center"/>
    </xf>
    <xf numFmtId="0" fontId="0" fillId="4" borderId="43" xfId="0" applyFill="1" applyBorder="1" applyAlignment="1">
      <alignment horizontal="center" vertical="center"/>
    </xf>
    <xf numFmtId="0" fontId="0" fillId="5" borderId="43" xfId="0" applyFill="1" applyBorder="1" applyAlignment="1">
      <alignment horizontal="center" vertical="center"/>
    </xf>
    <xf numFmtId="0" fontId="16" fillId="3" borderId="26" xfId="0" applyFont="1" applyFill="1" applyBorder="1" applyAlignment="1">
      <alignment horizontal="center" vertical="center"/>
    </xf>
    <xf numFmtId="182" fontId="17" fillId="3" borderId="26" xfId="0" applyNumberFormat="1" applyFont="1" applyFill="1" applyBorder="1" applyAlignment="1">
      <alignment horizontal="center" vertical="center"/>
    </xf>
    <xf numFmtId="181" fontId="0" fillId="3" borderId="79" xfId="0" applyNumberFormat="1" applyFill="1" applyBorder="1" applyAlignment="1">
      <alignment horizontal="center" vertical="center"/>
    </xf>
    <xf numFmtId="181" fontId="0" fillId="3" borderId="47" xfId="0" applyNumberFormat="1" applyFill="1" applyBorder="1" applyAlignment="1">
      <alignment horizontal="center" vertical="center"/>
    </xf>
    <xf numFmtId="181" fontId="0" fillId="3" borderId="80" xfId="0" applyNumberFormat="1" applyFill="1" applyBorder="1" applyAlignment="1">
      <alignment horizontal="center" vertical="center"/>
    </xf>
    <xf numFmtId="0" fontId="0" fillId="3" borderId="26" xfId="0" applyFill="1" applyBorder="1" applyAlignment="1">
      <alignment horizontal="center" vertical="center"/>
    </xf>
    <xf numFmtId="176" fontId="0" fillId="3" borderId="79" xfId="0" applyNumberFormat="1" applyFill="1" applyBorder="1" applyAlignment="1">
      <alignment horizontal="center" vertical="center"/>
    </xf>
    <xf numFmtId="176" fontId="0" fillId="3" borderId="47" xfId="0" applyNumberFormat="1" applyFill="1" applyBorder="1" applyAlignment="1">
      <alignment horizontal="center" vertical="center"/>
    </xf>
    <xf numFmtId="176" fontId="0" fillId="3" borderId="80" xfId="0" applyNumberFormat="1" applyFill="1" applyBorder="1" applyAlignment="1">
      <alignment horizontal="center" vertical="center"/>
    </xf>
    <xf numFmtId="176" fontId="0" fillId="3" borderId="26" xfId="0" applyNumberFormat="1" applyFill="1" applyBorder="1" applyAlignment="1">
      <alignment horizontal="center" vertical="center"/>
    </xf>
    <xf numFmtId="179" fontId="0" fillId="3" borderId="47" xfId="0" applyNumberFormat="1" applyFill="1" applyBorder="1" applyAlignment="1">
      <alignment horizontal="center" vertical="center"/>
    </xf>
    <xf numFmtId="179" fontId="0" fillId="3" borderId="80" xfId="0" applyNumberFormat="1" applyFill="1" applyBorder="1" applyAlignment="1">
      <alignment horizontal="center" vertical="center"/>
    </xf>
    <xf numFmtId="178" fontId="0" fillId="3" borderId="79" xfId="0" applyNumberFormat="1" applyFill="1" applyBorder="1" applyAlignment="1">
      <alignment horizontal="center" vertical="center"/>
    </xf>
    <xf numFmtId="178" fontId="0" fillId="3" borderId="47" xfId="0" applyNumberFormat="1" applyFill="1" applyBorder="1" applyAlignment="1">
      <alignment horizontal="center" vertical="center"/>
    </xf>
    <xf numFmtId="178" fontId="0" fillId="3" borderId="80" xfId="0" applyNumberFormat="1" applyFill="1" applyBorder="1" applyAlignment="1">
      <alignment horizontal="center" vertical="center"/>
    </xf>
    <xf numFmtId="180" fontId="0" fillId="3" borderId="26" xfId="0" applyNumberFormat="1" applyFill="1" applyBorder="1" applyAlignment="1">
      <alignment horizontal="center" vertical="center"/>
    </xf>
    <xf numFmtId="0" fontId="0" fillId="3" borderId="79" xfId="0" applyFill="1" applyBorder="1" applyAlignment="1">
      <alignment horizontal="center" vertical="center"/>
    </xf>
    <xf numFmtId="0" fontId="0" fillId="3" borderId="47" xfId="0" applyFill="1" applyBorder="1" applyAlignment="1">
      <alignment horizontal="center" vertical="center"/>
    </xf>
    <xf numFmtId="0" fontId="0" fillId="3" borderId="80" xfId="0" applyFill="1" applyBorder="1" applyAlignment="1">
      <alignment horizontal="center" vertical="center"/>
    </xf>
    <xf numFmtId="177" fontId="17" fillId="3" borderId="79" xfId="0" applyNumberFormat="1" applyFont="1" applyFill="1" applyBorder="1" applyAlignment="1">
      <alignment horizontal="center" vertical="center"/>
    </xf>
    <xf numFmtId="177" fontId="17" fillId="3" borderId="47" xfId="0" applyNumberFormat="1" applyFont="1" applyFill="1" applyBorder="1" applyAlignment="1">
      <alignment horizontal="center" vertical="center"/>
    </xf>
    <xf numFmtId="177" fontId="17" fillId="3" borderId="80" xfId="0" applyNumberFormat="1" applyFont="1" applyFill="1" applyBorder="1" applyAlignment="1">
      <alignment horizontal="center" vertical="center"/>
    </xf>
    <xf numFmtId="177" fontId="17" fillId="3" borderId="12" xfId="0" applyNumberFormat="1" applyFont="1" applyFill="1" applyBorder="1" applyAlignment="1">
      <alignment horizontal="center" vertical="center"/>
    </xf>
    <xf numFmtId="177" fontId="17" fillId="3" borderId="7" xfId="0" applyNumberFormat="1" applyFont="1" applyFill="1" applyBorder="1" applyAlignment="1">
      <alignment horizontal="center" vertical="center"/>
    </xf>
    <xf numFmtId="177" fontId="17" fillId="3" borderId="24" xfId="0" applyNumberFormat="1" applyFont="1" applyFill="1" applyBorder="1" applyAlignment="1">
      <alignment horizontal="center" vertical="center"/>
    </xf>
    <xf numFmtId="176" fontId="17" fillId="3" borderId="19" xfId="0" applyNumberFormat="1" applyFont="1" applyFill="1" applyBorder="1" applyAlignment="1">
      <alignment horizontal="center" vertical="center"/>
    </xf>
    <xf numFmtId="177" fontId="17" fillId="3" borderId="59" xfId="0" applyNumberFormat="1" applyFont="1" applyFill="1" applyBorder="1" applyAlignment="1">
      <alignment horizontal="center" vertical="center"/>
    </xf>
    <xf numFmtId="177" fontId="17" fillId="3" borderId="52" xfId="0" applyNumberFormat="1" applyFont="1" applyFill="1" applyBorder="1" applyAlignment="1">
      <alignment horizontal="center" vertical="center"/>
    </xf>
    <xf numFmtId="177" fontId="17" fillId="3" borderId="50" xfId="0" applyNumberFormat="1" applyFont="1" applyFill="1" applyBorder="1" applyAlignment="1">
      <alignment horizontal="center" vertical="center"/>
    </xf>
    <xf numFmtId="181" fontId="17" fillId="3" borderId="53" xfId="0" applyNumberFormat="1" applyFont="1" applyFill="1" applyBorder="1" applyAlignment="1">
      <alignment horizontal="center" vertical="center"/>
    </xf>
    <xf numFmtId="181" fontId="17" fillId="3" borderId="1" xfId="0" applyNumberFormat="1" applyFont="1" applyFill="1" applyBorder="1" applyAlignment="1">
      <alignment horizontal="center" vertical="center"/>
    </xf>
    <xf numFmtId="181" fontId="17" fillId="3" borderId="59" xfId="0" applyNumberFormat="1" applyFont="1" applyFill="1" applyBorder="1" applyAlignment="1">
      <alignment horizontal="center" vertical="center"/>
    </xf>
    <xf numFmtId="181" fontId="17" fillId="3" borderId="52" xfId="0" applyNumberFormat="1" applyFont="1" applyFill="1" applyBorder="1" applyAlignment="1">
      <alignment horizontal="center" vertical="center"/>
    </xf>
    <xf numFmtId="182" fontId="17" fillId="4" borderId="19" xfId="0" applyNumberFormat="1" applyFont="1" applyFill="1" applyBorder="1" applyAlignment="1">
      <alignment horizontal="center" vertical="center"/>
    </xf>
    <xf numFmtId="182" fontId="17" fillId="6" borderId="19" xfId="0" applyNumberFormat="1" applyFont="1" applyFill="1" applyBorder="1" applyAlignment="1">
      <alignment horizontal="center" vertical="center"/>
    </xf>
    <xf numFmtId="177" fontId="17" fillId="4" borderId="42" xfId="0" applyNumberFormat="1" applyFont="1" applyFill="1" applyBorder="1" applyAlignment="1">
      <alignment horizontal="center" vertical="center"/>
    </xf>
    <xf numFmtId="177" fontId="17" fillId="4" borderId="56" xfId="0" applyNumberFormat="1" applyFont="1" applyFill="1" applyBorder="1" applyAlignment="1">
      <alignment horizontal="center" vertical="center"/>
    </xf>
    <xf numFmtId="177" fontId="17" fillId="4" borderId="58" xfId="0" applyNumberFormat="1" applyFont="1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11" borderId="64" xfId="0" applyFill="1" applyBorder="1" applyAlignment="1">
      <alignment vertical="center"/>
    </xf>
    <xf numFmtId="0" fontId="0" fillId="11" borderId="62" xfId="0" applyFill="1" applyBorder="1" applyAlignment="1">
      <alignment vertical="center"/>
    </xf>
    <xf numFmtId="0" fontId="0" fillId="3" borderId="19" xfId="0" applyFill="1" applyBorder="1" applyAlignment="1">
      <alignment vertical="center"/>
    </xf>
    <xf numFmtId="0" fontId="0" fillId="11" borderId="26" xfId="0" applyFill="1" applyBorder="1" applyAlignment="1">
      <alignment vertical="center"/>
    </xf>
    <xf numFmtId="0" fontId="17" fillId="9" borderId="19" xfId="0" applyFont="1" applyFill="1" applyBorder="1" applyAlignment="1">
      <alignment horizontal="center" vertical="center"/>
    </xf>
    <xf numFmtId="0" fontId="18" fillId="9" borderId="45" xfId="0" applyFont="1" applyFill="1" applyBorder="1" applyAlignment="1">
      <alignment horizontal="center" vertical="center"/>
    </xf>
    <xf numFmtId="0" fontId="18" fillId="9" borderId="43" xfId="0" applyFont="1" applyFill="1" applyBorder="1" applyAlignment="1">
      <alignment horizontal="center" vertical="center"/>
    </xf>
    <xf numFmtId="0" fontId="18" fillId="9" borderId="20" xfId="0" applyFont="1" applyFill="1" applyBorder="1" applyAlignment="1">
      <alignment horizontal="center" vertical="center"/>
    </xf>
    <xf numFmtId="0" fontId="18" fillId="9" borderId="42" xfId="0" applyFont="1" applyFill="1" applyBorder="1" applyAlignment="1">
      <alignment horizontal="center" vertical="center"/>
    </xf>
    <xf numFmtId="0" fontId="18" fillId="9" borderId="56" xfId="0" applyFont="1" applyFill="1" applyBorder="1" applyAlignment="1">
      <alignment horizontal="center" vertical="center"/>
    </xf>
    <xf numFmtId="0" fontId="0" fillId="10" borderId="44" xfId="0" applyFill="1" applyBorder="1" applyAlignment="1">
      <alignment horizontal="center" vertical="center"/>
    </xf>
    <xf numFmtId="0" fontId="0" fillId="6" borderId="67" xfId="0" applyFill="1" applyBorder="1" applyAlignment="1">
      <alignment horizontal="center" vertical="center"/>
    </xf>
    <xf numFmtId="0" fontId="0" fillId="6" borderId="5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5" borderId="71" xfId="0" applyFill="1" applyBorder="1" applyAlignment="1">
      <alignment horizontal="center" vertical="center"/>
    </xf>
    <xf numFmtId="0" fontId="0" fillId="3" borderId="67" xfId="0" applyFill="1" applyBorder="1" applyAlignment="1">
      <alignment horizontal="center" vertical="center"/>
    </xf>
    <xf numFmtId="0" fontId="0" fillId="3" borderId="48" xfId="0" applyFill="1" applyBorder="1" applyAlignment="1">
      <alignment horizontal="center" vertical="center"/>
    </xf>
    <xf numFmtId="0" fontId="0" fillId="3" borderId="71" xfId="0" applyFill="1" applyBorder="1" applyAlignment="1">
      <alignment horizontal="center" vertical="center"/>
    </xf>
    <xf numFmtId="0" fontId="18" fillId="3" borderId="6" xfId="0" applyFont="1" applyFill="1" applyBorder="1" applyAlignment="1">
      <alignment horizontal="center" vertical="center"/>
    </xf>
    <xf numFmtId="0" fontId="0" fillId="11" borderId="4" xfId="0" applyFill="1" applyBorder="1" applyAlignment="1">
      <alignment horizontal="center" vertical="center"/>
    </xf>
    <xf numFmtId="0" fontId="0" fillId="11" borderId="8" xfId="0" applyFill="1" applyBorder="1" applyAlignment="1">
      <alignment horizontal="center" vertical="center"/>
    </xf>
    <xf numFmtId="0" fontId="18" fillId="3" borderId="54" xfId="0" applyFont="1" applyFill="1" applyBorder="1" applyAlignment="1">
      <alignment horizontal="center" vertical="center"/>
    </xf>
    <xf numFmtId="0" fontId="0" fillId="3" borderId="54" xfId="0" applyFill="1" applyBorder="1" applyAlignment="1">
      <alignment horizontal="center" vertical="center"/>
    </xf>
    <xf numFmtId="0" fontId="0" fillId="11" borderId="6" xfId="0" applyFill="1" applyBorder="1" applyAlignment="1">
      <alignment horizontal="center" vertical="center"/>
    </xf>
    <xf numFmtId="0" fontId="0" fillId="11" borderId="71" xfId="0" applyFill="1" applyBorder="1" applyAlignment="1">
      <alignment horizontal="center" vertical="center"/>
    </xf>
    <xf numFmtId="0" fontId="18" fillId="11" borderId="8" xfId="0" applyFont="1" applyFill="1" applyBorder="1" applyAlignment="1">
      <alignment horizontal="center" vertical="center"/>
    </xf>
    <xf numFmtId="0" fontId="0" fillId="3" borderId="44" xfId="0" applyFill="1" applyBorder="1" applyAlignment="1">
      <alignment horizontal="center" vertical="center"/>
    </xf>
    <xf numFmtId="0" fontId="0" fillId="11" borderId="44" xfId="0" applyFill="1" applyBorder="1" applyAlignment="1">
      <alignment horizontal="center" vertical="center"/>
    </xf>
    <xf numFmtId="0" fontId="0" fillId="6" borderId="44" xfId="0" applyFill="1" applyBorder="1" applyAlignment="1">
      <alignment horizontal="center" vertical="center"/>
    </xf>
    <xf numFmtId="0" fontId="0" fillId="3" borderId="77" xfId="0" applyFill="1" applyBorder="1" applyAlignment="1">
      <alignment horizontal="center" vertical="center"/>
    </xf>
    <xf numFmtId="0" fontId="0" fillId="11" borderId="48" xfId="0" applyFill="1" applyBorder="1" applyAlignment="1">
      <alignment horizontal="center" vertical="center"/>
    </xf>
    <xf numFmtId="0" fontId="0" fillId="11" borderId="54" xfId="0" applyFill="1" applyBorder="1" applyAlignment="1">
      <alignment horizontal="center" vertical="center"/>
    </xf>
    <xf numFmtId="0" fontId="6" fillId="0" borderId="26" xfId="0" applyFont="1" applyBorder="1" applyAlignment="1">
      <alignment horizontal="center" vertical="center" wrapText="1"/>
    </xf>
    <xf numFmtId="182" fontId="6" fillId="0" borderId="26" xfId="0" applyNumberFormat="1" applyFont="1" applyBorder="1" applyAlignment="1">
      <alignment horizontal="center" vertical="center"/>
    </xf>
    <xf numFmtId="181" fontId="6" fillId="0" borderId="59" xfId="0" applyNumberFormat="1" applyFont="1" applyBorder="1" applyAlignment="1">
      <alignment horizontal="center" vertical="center"/>
    </xf>
    <xf numFmtId="181" fontId="6" fillId="0" borderId="52" xfId="0" applyNumberFormat="1" applyFont="1" applyBorder="1" applyAlignment="1">
      <alignment horizontal="center" vertical="center"/>
    </xf>
    <xf numFmtId="181" fontId="6" fillId="0" borderId="50" xfId="0" applyNumberFormat="1" applyFont="1" applyBorder="1" applyAlignment="1">
      <alignment horizontal="center" vertical="center"/>
    </xf>
    <xf numFmtId="176" fontId="6" fillId="0" borderId="59" xfId="0" applyNumberFormat="1" applyFont="1" applyBorder="1" applyAlignment="1">
      <alignment horizontal="center" vertical="center"/>
    </xf>
    <xf numFmtId="176" fontId="6" fillId="0" borderId="52" xfId="0" applyNumberFormat="1" applyFont="1" applyBorder="1" applyAlignment="1">
      <alignment horizontal="center" vertical="center"/>
    </xf>
    <xf numFmtId="176" fontId="6" fillId="0" borderId="50" xfId="0" applyNumberFormat="1" applyFont="1" applyBorder="1" applyAlignment="1">
      <alignment horizontal="center" vertical="center"/>
    </xf>
    <xf numFmtId="176" fontId="6" fillId="0" borderId="26" xfId="0" applyNumberFormat="1" applyFont="1" applyBorder="1" applyAlignment="1">
      <alignment horizontal="center" vertical="center" wrapText="1"/>
    </xf>
    <xf numFmtId="179" fontId="6" fillId="0" borderId="52" xfId="0" applyNumberFormat="1" applyFont="1" applyBorder="1" applyAlignment="1">
      <alignment horizontal="center" vertical="center"/>
    </xf>
    <xf numFmtId="179" fontId="6" fillId="0" borderId="50" xfId="0" applyNumberFormat="1" applyFont="1" applyBorder="1" applyAlignment="1">
      <alignment horizontal="center" vertical="center"/>
    </xf>
    <xf numFmtId="178" fontId="6" fillId="0" borderId="59" xfId="0" applyNumberFormat="1" applyFont="1" applyFill="1" applyBorder="1" applyAlignment="1">
      <alignment horizontal="center" vertical="center"/>
    </xf>
    <xf numFmtId="178" fontId="6" fillId="0" borderId="52" xfId="0" applyNumberFormat="1" applyFont="1" applyFill="1" applyBorder="1" applyAlignment="1">
      <alignment horizontal="center" vertical="center"/>
    </xf>
    <xf numFmtId="178" fontId="6" fillId="0" borderId="50" xfId="0" applyNumberFormat="1" applyFont="1" applyFill="1" applyBorder="1" applyAlignment="1">
      <alignment horizontal="center" vertical="center"/>
    </xf>
    <xf numFmtId="180" fontId="6" fillId="0" borderId="26" xfId="0" applyNumberFormat="1" applyFont="1" applyFill="1" applyBorder="1" applyAlignment="1">
      <alignment horizontal="center" vertical="center" wrapText="1"/>
    </xf>
    <xf numFmtId="0" fontId="6" fillId="0" borderId="59" xfId="0" applyFont="1" applyFill="1" applyBorder="1" applyAlignment="1">
      <alignment horizontal="center" vertical="center"/>
    </xf>
    <xf numFmtId="0" fontId="6" fillId="0" borderId="52" xfId="0" applyFont="1" applyFill="1" applyBorder="1" applyAlignment="1">
      <alignment horizontal="center" vertical="center"/>
    </xf>
    <xf numFmtId="0" fontId="6" fillId="0" borderId="50" xfId="0" applyFont="1" applyFill="1" applyBorder="1" applyAlignment="1">
      <alignment horizontal="center" vertical="center"/>
    </xf>
    <xf numFmtId="0" fontId="6" fillId="0" borderId="26" xfId="0" applyFont="1" applyFill="1" applyBorder="1" applyAlignment="1">
      <alignment horizontal="center" vertical="center"/>
    </xf>
    <xf numFmtId="177" fontId="6" fillId="0" borderId="59" xfId="0" applyNumberFormat="1" applyFont="1" applyFill="1" applyBorder="1" applyAlignment="1">
      <alignment horizontal="center" vertical="center"/>
    </xf>
    <xf numFmtId="177" fontId="6" fillId="0" borderId="52" xfId="0" applyNumberFormat="1" applyFont="1" applyFill="1" applyBorder="1" applyAlignment="1">
      <alignment horizontal="center" vertical="center"/>
    </xf>
    <xf numFmtId="177" fontId="6" fillId="0" borderId="50" xfId="0" applyNumberFormat="1" applyFont="1" applyFill="1" applyBorder="1" applyAlignment="1">
      <alignment horizontal="center" vertical="center"/>
    </xf>
    <xf numFmtId="0" fontId="6" fillId="0" borderId="26" xfId="0" applyFont="1" applyFill="1" applyBorder="1" applyAlignment="1">
      <alignment horizontal="center" vertical="center" wrapText="1"/>
    </xf>
    <xf numFmtId="0" fontId="6" fillId="0" borderId="79" xfId="0" applyFont="1" applyFill="1" applyBorder="1" applyAlignment="1">
      <alignment horizontal="center" vertical="center"/>
    </xf>
    <xf numFmtId="0" fontId="6" fillId="0" borderId="47" xfId="0" applyFont="1" applyFill="1" applyBorder="1" applyAlignment="1">
      <alignment horizontal="center" vertical="center"/>
    </xf>
    <xf numFmtId="0" fontId="6" fillId="0" borderId="47" xfId="0" applyFont="1" applyFill="1" applyBorder="1" applyAlignment="1">
      <alignment horizontal="center" vertical="center" wrapText="1"/>
    </xf>
    <xf numFmtId="0" fontId="6" fillId="0" borderId="59" xfId="0" applyFont="1" applyBorder="1" applyAlignment="1">
      <alignment horizontal="center" vertical="center"/>
    </xf>
    <xf numFmtId="0" fontId="6" fillId="0" borderId="52" xfId="0" applyFont="1" applyBorder="1" applyAlignment="1">
      <alignment horizontal="center" vertical="center"/>
    </xf>
    <xf numFmtId="176" fontId="17" fillId="5" borderId="20" xfId="0" applyNumberFormat="1" applyFont="1" applyFill="1" applyBorder="1" applyAlignment="1">
      <alignment horizontal="center" vertical="center"/>
    </xf>
    <xf numFmtId="182" fontId="17" fillId="4" borderId="63" xfId="0" applyNumberFormat="1" applyFont="1" applyFill="1" applyBorder="1" applyAlignment="1">
      <alignment horizontal="center" vertical="center"/>
    </xf>
    <xf numFmtId="182" fontId="17" fillId="4" borderId="64" xfId="0" applyNumberFormat="1" applyFont="1" applyFill="1" applyBorder="1" applyAlignment="1">
      <alignment horizontal="center" vertical="center"/>
    </xf>
    <xf numFmtId="177" fontId="17" fillId="4" borderId="55" xfId="0" applyNumberFormat="1" applyFont="1" applyFill="1" applyBorder="1" applyAlignment="1">
      <alignment horizontal="center" vertical="center"/>
    </xf>
    <xf numFmtId="177" fontId="17" fillId="4" borderId="32" xfId="0" applyNumberFormat="1" applyFont="1" applyFill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5" borderId="43" xfId="0" applyFill="1" applyBorder="1" applyAlignment="1">
      <alignment horizontal="center" vertical="center"/>
    </xf>
    <xf numFmtId="176" fontId="17" fillId="4" borderId="19" xfId="0" applyNumberFormat="1" applyFont="1" applyFill="1" applyBorder="1" applyAlignment="1">
      <alignment horizontal="center" vertical="center"/>
    </xf>
    <xf numFmtId="177" fontId="17" fillId="4" borderId="2" xfId="0" applyNumberFormat="1" applyFont="1" applyFill="1" applyBorder="1" applyAlignment="1">
      <alignment horizontal="center" vertical="center"/>
    </xf>
    <xf numFmtId="0" fontId="18" fillId="4" borderId="63" xfId="0" applyFont="1" applyFill="1" applyBorder="1" applyAlignment="1">
      <alignment horizontal="center" vertical="center"/>
    </xf>
    <xf numFmtId="0" fontId="16" fillId="4" borderId="26" xfId="0" applyFont="1" applyFill="1" applyBorder="1" applyAlignment="1">
      <alignment horizontal="center" vertical="center"/>
    </xf>
    <xf numFmtId="182" fontId="0" fillId="4" borderId="26" xfId="0" applyNumberFormat="1" applyFill="1" applyBorder="1" applyAlignment="1">
      <alignment horizontal="center" vertical="center"/>
    </xf>
    <xf numFmtId="181" fontId="0" fillId="4" borderId="79" xfId="0" applyNumberFormat="1" applyFill="1" applyBorder="1" applyAlignment="1">
      <alignment horizontal="center" vertical="center"/>
    </xf>
    <xf numFmtId="181" fontId="0" fillId="4" borderId="47" xfId="0" applyNumberFormat="1" applyFill="1" applyBorder="1" applyAlignment="1">
      <alignment horizontal="center" vertical="center"/>
    </xf>
    <xf numFmtId="181" fontId="0" fillId="4" borderId="80" xfId="0" applyNumberFormat="1" applyFill="1" applyBorder="1" applyAlignment="1">
      <alignment horizontal="center" vertical="center"/>
    </xf>
    <xf numFmtId="0" fontId="0" fillId="4" borderId="26" xfId="0" applyFill="1" applyBorder="1" applyAlignment="1">
      <alignment horizontal="center" vertical="center"/>
    </xf>
    <xf numFmtId="176" fontId="0" fillId="4" borderId="79" xfId="0" applyNumberFormat="1" applyFill="1" applyBorder="1" applyAlignment="1">
      <alignment horizontal="center" vertical="center"/>
    </xf>
    <xf numFmtId="176" fontId="0" fillId="4" borderId="47" xfId="0" applyNumberFormat="1" applyFill="1" applyBorder="1" applyAlignment="1">
      <alignment horizontal="center" vertical="center"/>
    </xf>
    <xf numFmtId="176" fontId="0" fillId="4" borderId="80" xfId="0" applyNumberFormat="1" applyFill="1" applyBorder="1" applyAlignment="1">
      <alignment horizontal="center" vertical="center"/>
    </xf>
    <xf numFmtId="176" fontId="17" fillId="4" borderId="26" xfId="0" applyNumberFormat="1" applyFont="1" applyFill="1" applyBorder="1" applyAlignment="1">
      <alignment horizontal="center" vertical="center"/>
    </xf>
    <xf numFmtId="179" fontId="0" fillId="4" borderId="47" xfId="0" applyNumberFormat="1" applyFill="1" applyBorder="1" applyAlignment="1">
      <alignment horizontal="center" vertical="center"/>
    </xf>
    <xf numFmtId="179" fontId="0" fillId="4" borderId="80" xfId="0" applyNumberFormat="1" applyFill="1" applyBorder="1" applyAlignment="1">
      <alignment horizontal="center" vertical="center"/>
    </xf>
    <xf numFmtId="178" fontId="0" fillId="4" borderId="79" xfId="0" applyNumberFormat="1" applyFill="1" applyBorder="1" applyAlignment="1">
      <alignment horizontal="center" vertical="center"/>
    </xf>
    <xf numFmtId="178" fontId="0" fillId="4" borderId="47" xfId="0" applyNumberFormat="1" applyFill="1" applyBorder="1" applyAlignment="1">
      <alignment horizontal="center" vertical="center"/>
    </xf>
    <xf numFmtId="178" fontId="0" fillId="4" borderId="80" xfId="0" applyNumberFormat="1" applyFill="1" applyBorder="1" applyAlignment="1">
      <alignment horizontal="center" vertical="center"/>
    </xf>
    <xf numFmtId="180" fontId="0" fillId="4" borderId="26" xfId="0" applyNumberFormat="1" applyFill="1" applyBorder="1" applyAlignment="1">
      <alignment horizontal="center" vertical="center"/>
    </xf>
    <xf numFmtId="0" fontId="0" fillId="4" borderId="79" xfId="0" applyFill="1" applyBorder="1" applyAlignment="1">
      <alignment horizontal="center" vertical="center"/>
    </xf>
    <xf numFmtId="0" fontId="0" fillId="4" borderId="47" xfId="0" applyFill="1" applyBorder="1" applyAlignment="1">
      <alignment horizontal="center" vertical="center"/>
    </xf>
    <xf numFmtId="0" fontId="0" fillId="4" borderId="80" xfId="0" applyFill="1" applyBorder="1" applyAlignment="1">
      <alignment horizontal="center" vertical="center"/>
    </xf>
    <xf numFmtId="177" fontId="17" fillId="4" borderId="79" xfId="0" applyNumberFormat="1" applyFont="1" applyFill="1" applyBorder="1" applyAlignment="1">
      <alignment horizontal="center" vertical="center"/>
    </xf>
    <xf numFmtId="177" fontId="17" fillId="4" borderId="47" xfId="0" applyNumberFormat="1" applyFont="1" applyFill="1" applyBorder="1" applyAlignment="1">
      <alignment horizontal="center" vertical="center"/>
    </xf>
    <xf numFmtId="177" fontId="17" fillId="4" borderId="80" xfId="0" applyNumberFormat="1" applyFont="1" applyFill="1" applyBorder="1" applyAlignment="1">
      <alignment horizontal="center" vertical="center"/>
    </xf>
    <xf numFmtId="0" fontId="0" fillId="4" borderId="48" xfId="0" applyFill="1" applyBorder="1" applyAlignment="1">
      <alignment horizontal="center" vertical="center"/>
    </xf>
    <xf numFmtId="0" fontId="18" fillId="10" borderId="19" xfId="0" applyFont="1" applyFill="1" applyBorder="1" applyAlignment="1">
      <alignment horizontal="center" vertical="center"/>
    </xf>
    <xf numFmtId="177" fontId="17" fillId="10" borderId="45" xfId="0" applyNumberFormat="1" applyFont="1" applyFill="1" applyBorder="1" applyAlignment="1">
      <alignment horizontal="center" vertical="center"/>
    </xf>
    <xf numFmtId="177" fontId="17" fillId="10" borderId="43" xfId="0" applyNumberFormat="1" applyFont="1" applyFill="1" applyBorder="1" applyAlignment="1">
      <alignment horizontal="center" vertical="center"/>
    </xf>
    <xf numFmtId="177" fontId="17" fillId="10" borderId="34" xfId="0" applyNumberFormat="1" applyFont="1" applyFill="1" applyBorder="1" applyAlignment="1">
      <alignment horizontal="center" vertical="center"/>
    </xf>
    <xf numFmtId="177" fontId="17" fillId="5" borderId="45" xfId="0" applyNumberFormat="1" applyFont="1" applyFill="1" applyBorder="1" applyAlignment="1">
      <alignment horizontal="center" vertical="center"/>
    </xf>
    <xf numFmtId="177" fontId="17" fillId="5" borderId="43" xfId="0" applyNumberFormat="1" applyFont="1" applyFill="1" applyBorder="1" applyAlignment="1">
      <alignment horizontal="center" vertical="center"/>
    </xf>
    <xf numFmtId="177" fontId="17" fillId="5" borderId="34" xfId="0" applyNumberFormat="1" applyFont="1" applyFill="1" applyBorder="1" applyAlignment="1">
      <alignment horizontal="center" vertical="center"/>
    </xf>
    <xf numFmtId="0" fontId="18" fillId="5" borderId="62" xfId="0" applyFont="1" applyFill="1" applyBorder="1" applyAlignment="1">
      <alignment horizontal="center" vertical="center"/>
    </xf>
    <xf numFmtId="177" fontId="17" fillId="3" borderId="11" xfId="0" applyNumberFormat="1" applyFont="1" applyFill="1" applyBorder="1" applyAlignment="1">
      <alignment horizontal="center" vertical="center"/>
    </xf>
    <xf numFmtId="177" fontId="17" fillId="3" borderId="3" xfId="0" applyNumberFormat="1" applyFont="1" applyFill="1" applyBorder="1" applyAlignment="1">
      <alignment horizontal="center" vertical="center"/>
    </xf>
    <xf numFmtId="177" fontId="17" fillId="3" borderId="57" xfId="0" applyNumberFormat="1" applyFont="1" applyFill="1" applyBorder="1" applyAlignment="1">
      <alignment horizontal="center" vertical="center"/>
    </xf>
    <xf numFmtId="0" fontId="21" fillId="3" borderId="62" xfId="0" applyFont="1" applyFill="1" applyBorder="1" applyAlignment="1">
      <alignment horizontal="center" vertical="center"/>
    </xf>
    <xf numFmtId="182" fontId="17" fillId="11" borderId="61" xfId="0" applyNumberFormat="1" applyFont="1" applyFill="1" applyBorder="1" applyAlignment="1">
      <alignment horizontal="center" vertical="center"/>
    </xf>
    <xf numFmtId="182" fontId="17" fillId="11" borderId="65" xfId="0" applyNumberFormat="1" applyFont="1" applyFill="1" applyBorder="1" applyAlignment="1">
      <alignment horizontal="center" vertical="center"/>
    </xf>
    <xf numFmtId="182" fontId="17" fillId="11" borderId="62" xfId="0" applyNumberFormat="1" applyFont="1" applyFill="1" applyBorder="1" applyAlignment="1">
      <alignment horizontal="center" vertical="center"/>
    </xf>
    <xf numFmtId="182" fontId="17" fillId="3" borderId="64" xfId="0" applyNumberFormat="1" applyFont="1" applyFill="1" applyBorder="1" applyAlignment="1">
      <alignment horizontal="center" vertical="center"/>
    </xf>
    <xf numFmtId="177" fontId="22" fillId="3" borderId="7" xfId="0" applyNumberFormat="1" applyFont="1" applyFill="1" applyBorder="1" applyAlignment="1">
      <alignment horizontal="center" vertical="center"/>
    </xf>
    <xf numFmtId="181" fontId="17" fillId="3" borderId="50" xfId="0" applyNumberFormat="1" applyFont="1" applyFill="1" applyBorder="1" applyAlignment="1">
      <alignment horizontal="center" vertical="center"/>
    </xf>
    <xf numFmtId="9" fontId="0" fillId="3" borderId="60" xfId="0" applyNumberFormat="1" applyFill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3" borderId="61" xfId="0" applyFill="1" applyBorder="1" applyAlignment="1">
      <alignment vertical="center"/>
    </xf>
    <xf numFmtId="0" fontId="0" fillId="3" borderId="11" xfId="0" applyFill="1" applyBorder="1" applyAlignment="1">
      <alignment vertical="center"/>
    </xf>
    <xf numFmtId="0" fontId="0" fillId="3" borderId="63" xfId="0" applyFill="1" applyBorder="1" applyAlignment="1">
      <alignment vertical="center"/>
    </xf>
    <xf numFmtId="0" fontId="0" fillId="3" borderId="60" xfId="0" applyFill="1" applyBorder="1" applyAlignment="1">
      <alignment vertical="center"/>
    </xf>
    <xf numFmtId="0" fontId="18" fillId="3" borderId="27" xfId="0" applyFont="1" applyFill="1" applyBorder="1" applyAlignment="1">
      <alignment horizontal="center" vertical="center"/>
    </xf>
    <xf numFmtId="182" fontId="18" fillId="3" borderId="27" xfId="0" applyNumberFormat="1" applyFont="1" applyFill="1" applyBorder="1" applyAlignment="1">
      <alignment horizontal="center" vertical="center"/>
    </xf>
    <xf numFmtId="181" fontId="18" fillId="3" borderId="16" xfId="0" applyNumberFormat="1" applyFont="1" applyFill="1" applyBorder="1" applyAlignment="1">
      <alignment horizontal="center" vertical="center"/>
    </xf>
    <xf numFmtId="181" fontId="18" fillId="3" borderId="15" xfId="0" applyNumberFormat="1" applyFont="1" applyFill="1" applyBorder="1" applyAlignment="1">
      <alignment horizontal="center" vertical="center"/>
    </xf>
    <xf numFmtId="181" fontId="18" fillId="3" borderId="25" xfId="0" applyNumberFormat="1" applyFont="1" applyFill="1" applyBorder="1" applyAlignment="1">
      <alignment horizontal="center" vertical="center"/>
    </xf>
    <xf numFmtId="176" fontId="18" fillId="3" borderId="16" xfId="0" applyNumberFormat="1" applyFont="1" applyFill="1" applyBorder="1" applyAlignment="1">
      <alignment horizontal="center" vertical="center"/>
    </xf>
    <xf numFmtId="176" fontId="18" fillId="3" borderId="15" xfId="0" applyNumberFormat="1" applyFont="1" applyFill="1" applyBorder="1" applyAlignment="1">
      <alignment horizontal="center" vertical="center"/>
    </xf>
    <xf numFmtId="176" fontId="18" fillId="3" borderId="25" xfId="0" applyNumberFormat="1" applyFont="1" applyFill="1" applyBorder="1" applyAlignment="1">
      <alignment horizontal="center" vertical="center"/>
    </xf>
    <xf numFmtId="176" fontId="18" fillId="3" borderId="27" xfId="0" applyNumberFormat="1" applyFont="1" applyFill="1" applyBorder="1" applyAlignment="1">
      <alignment horizontal="center" vertical="center"/>
    </xf>
    <xf numFmtId="179" fontId="18" fillId="3" borderId="15" xfId="0" applyNumberFormat="1" applyFont="1" applyFill="1" applyBorder="1" applyAlignment="1">
      <alignment horizontal="center" vertical="center"/>
    </xf>
    <xf numFmtId="179" fontId="18" fillId="3" borderId="25" xfId="0" applyNumberFormat="1" applyFont="1" applyFill="1" applyBorder="1" applyAlignment="1">
      <alignment horizontal="center" vertical="center"/>
    </xf>
    <xf numFmtId="178" fontId="18" fillId="3" borderId="16" xfId="0" applyNumberFormat="1" applyFont="1" applyFill="1" applyBorder="1" applyAlignment="1">
      <alignment horizontal="center" vertical="center"/>
    </xf>
    <xf numFmtId="178" fontId="18" fillId="3" borderId="15" xfId="0" applyNumberFormat="1" applyFont="1" applyFill="1" applyBorder="1" applyAlignment="1">
      <alignment horizontal="center" vertical="center"/>
    </xf>
    <xf numFmtId="178" fontId="18" fillId="3" borderId="25" xfId="0" applyNumberFormat="1" applyFont="1" applyFill="1" applyBorder="1" applyAlignment="1">
      <alignment horizontal="center" vertical="center"/>
    </xf>
    <xf numFmtId="180" fontId="18" fillId="3" borderId="27" xfId="0" applyNumberFormat="1" applyFont="1" applyFill="1" applyBorder="1" applyAlignment="1">
      <alignment horizontal="center" vertical="center"/>
    </xf>
    <xf numFmtId="0" fontId="18" fillId="3" borderId="16" xfId="0" applyFont="1" applyFill="1" applyBorder="1" applyAlignment="1">
      <alignment horizontal="center" vertical="center"/>
    </xf>
    <xf numFmtId="0" fontId="18" fillId="3" borderId="15" xfId="0" applyFont="1" applyFill="1" applyBorder="1" applyAlignment="1">
      <alignment horizontal="center" vertical="center"/>
    </xf>
    <xf numFmtId="0" fontId="18" fillId="3" borderId="25" xfId="0" applyFont="1" applyFill="1" applyBorder="1" applyAlignment="1">
      <alignment horizontal="center" vertical="center"/>
    </xf>
    <xf numFmtId="177" fontId="18" fillId="3" borderId="16" xfId="0" applyNumberFormat="1" applyFont="1" applyFill="1" applyBorder="1" applyAlignment="1">
      <alignment horizontal="center" vertical="center"/>
    </xf>
    <xf numFmtId="177" fontId="18" fillId="3" borderId="15" xfId="0" applyNumberFormat="1" applyFont="1" applyFill="1" applyBorder="1" applyAlignment="1">
      <alignment horizontal="center" vertical="center"/>
    </xf>
    <xf numFmtId="177" fontId="18" fillId="3" borderId="25" xfId="0" applyNumberFormat="1" applyFont="1" applyFill="1" applyBorder="1" applyAlignment="1">
      <alignment horizontal="center" vertical="center"/>
    </xf>
    <xf numFmtId="0" fontId="18" fillId="3" borderId="13" xfId="0" applyFont="1" applyFill="1" applyBorder="1" applyAlignment="1">
      <alignment horizontal="center" vertical="center"/>
    </xf>
    <xf numFmtId="0" fontId="18" fillId="3" borderId="77" xfId="0" applyFont="1" applyFill="1" applyBorder="1" applyAlignment="1">
      <alignment horizontal="center" vertical="center"/>
    </xf>
    <xf numFmtId="179" fontId="0" fillId="5" borderId="43" xfId="0" applyNumberFormat="1" applyFill="1" applyBorder="1" applyAlignment="1">
      <alignment horizontal="center" vertical="center"/>
    </xf>
    <xf numFmtId="179" fontId="0" fillId="5" borderId="34" xfId="0" applyNumberFormat="1" applyFill="1" applyBorder="1" applyAlignment="1">
      <alignment horizontal="center" vertical="center"/>
    </xf>
    <xf numFmtId="177" fontId="0" fillId="5" borderId="45" xfId="0" applyNumberFormat="1" applyFill="1" applyBorder="1" applyAlignment="1">
      <alignment horizontal="center" vertical="center"/>
    </xf>
    <xf numFmtId="177" fontId="0" fillId="5" borderId="43" xfId="0" applyNumberFormat="1" applyFill="1" applyBorder="1" applyAlignment="1">
      <alignment horizontal="center" vertical="center"/>
    </xf>
    <xf numFmtId="177" fontId="0" fillId="5" borderId="34" xfId="0" applyNumberFormat="1" applyFill="1" applyBorder="1" applyAlignment="1">
      <alignment horizontal="center" vertical="center"/>
    </xf>
    <xf numFmtId="0" fontId="18" fillId="3" borderId="19" xfId="0" applyFont="1" applyFill="1" applyBorder="1" applyAlignment="1">
      <alignment horizontal="center" vertical="center"/>
    </xf>
    <xf numFmtId="0" fontId="18" fillId="3" borderId="45" xfId="0" applyFont="1" applyFill="1" applyBorder="1" applyAlignment="1">
      <alignment horizontal="center" vertical="center"/>
    </xf>
    <xf numFmtId="178" fontId="18" fillId="3" borderId="43" xfId="0" applyNumberFormat="1" applyFont="1" applyFill="1" applyBorder="1" applyAlignment="1">
      <alignment horizontal="center" vertical="center"/>
    </xf>
    <xf numFmtId="178" fontId="18" fillId="3" borderId="34" xfId="0" applyNumberFormat="1" applyFont="1" applyFill="1" applyBorder="1" applyAlignment="1">
      <alignment horizontal="center" vertical="center"/>
    </xf>
    <xf numFmtId="176" fontId="18" fillId="3" borderId="45" xfId="0" applyNumberFormat="1" applyFont="1" applyFill="1" applyBorder="1" applyAlignment="1">
      <alignment horizontal="center" vertical="center"/>
    </xf>
    <xf numFmtId="176" fontId="18" fillId="3" borderId="43" xfId="0" applyNumberFormat="1" applyFont="1" applyFill="1" applyBorder="1" applyAlignment="1">
      <alignment horizontal="center" vertical="center"/>
    </xf>
    <xf numFmtId="176" fontId="18" fillId="3" borderId="34" xfId="0" applyNumberFormat="1" applyFont="1" applyFill="1" applyBorder="1" applyAlignment="1">
      <alignment horizontal="center" vertical="center"/>
    </xf>
    <xf numFmtId="176" fontId="18" fillId="3" borderId="19" xfId="0" applyNumberFormat="1" applyFont="1" applyFill="1" applyBorder="1" applyAlignment="1">
      <alignment horizontal="center" vertical="center"/>
    </xf>
    <xf numFmtId="179" fontId="18" fillId="3" borderId="43" xfId="0" applyNumberFormat="1" applyFont="1" applyFill="1" applyBorder="1" applyAlignment="1">
      <alignment horizontal="center" vertical="center"/>
    </xf>
    <xf numFmtId="179" fontId="18" fillId="3" borderId="34" xfId="0" applyNumberFormat="1" applyFont="1" applyFill="1" applyBorder="1" applyAlignment="1">
      <alignment horizontal="center" vertical="center"/>
    </xf>
    <xf numFmtId="178" fontId="18" fillId="3" borderId="45" xfId="0" applyNumberFormat="1" applyFont="1" applyFill="1" applyBorder="1" applyAlignment="1">
      <alignment horizontal="center" vertical="center"/>
    </xf>
    <xf numFmtId="180" fontId="18" fillId="3" borderId="19" xfId="0" applyNumberFormat="1" applyFont="1" applyFill="1" applyBorder="1" applyAlignment="1">
      <alignment horizontal="center" vertical="center"/>
    </xf>
    <xf numFmtId="0" fontId="18" fillId="3" borderId="43" xfId="0" applyFont="1" applyFill="1" applyBorder="1" applyAlignment="1">
      <alignment horizontal="center" vertical="center"/>
    </xf>
    <xf numFmtId="0" fontId="18" fillId="3" borderId="34" xfId="0" applyFont="1" applyFill="1" applyBorder="1" applyAlignment="1">
      <alignment horizontal="center" vertical="center"/>
    </xf>
    <xf numFmtId="0" fontId="18" fillId="3" borderId="21" xfId="0" applyFont="1" applyFill="1" applyBorder="1" applyAlignment="1">
      <alignment horizontal="center" vertical="center"/>
    </xf>
    <xf numFmtId="0" fontId="18" fillId="3" borderId="33" xfId="0" applyFont="1" applyFill="1" applyBorder="1" applyAlignment="1">
      <alignment horizontal="center" vertical="center"/>
    </xf>
    <xf numFmtId="0" fontId="18" fillId="3" borderId="44" xfId="0" applyFont="1" applyFill="1" applyBorder="1" applyAlignment="1">
      <alignment horizontal="center" vertical="center"/>
    </xf>
    <xf numFmtId="182" fontId="0" fillId="3" borderId="26" xfId="0" applyNumberFormat="1" applyFill="1" applyBorder="1" applyAlignment="1">
      <alignment horizontal="center" vertical="center"/>
    </xf>
    <xf numFmtId="177" fontId="0" fillId="3" borderId="79" xfId="0" applyNumberFormat="1" applyFill="1" applyBorder="1" applyAlignment="1">
      <alignment horizontal="center" vertical="center"/>
    </xf>
    <xf numFmtId="177" fontId="0" fillId="3" borderId="47" xfId="0" applyNumberFormat="1" applyFill="1" applyBorder="1" applyAlignment="1">
      <alignment horizontal="center" vertical="center"/>
    </xf>
    <xf numFmtId="177" fontId="0" fillId="3" borderId="80" xfId="0" applyNumberFormat="1" applyFill="1" applyBorder="1" applyAlignment="1">
      <alignment horizontal="center" vertical="center"/>
    </xf>
    <xf numFmtId="0" fontId="0" fillId="3" borderId="26" xfId="0" applyFill="1" applyBorder="1" applyAlignment="1">
      <alignment vertical="center"/>
    </xf>
    <xf numFmtId="0" fontId="0" fillId="3" borderId="79" xfId="0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23" fillId="0" borderId="50" xfId="0" applyFont="1" applyBorder="1" applyAlignment="1">
      <alignment horizontal="center" vertical="center"/>
    </xf>
    <xf numFmtId="0" fontId="21" fillId="6" borderId="21" xfId="0" applyFont="1" applyFill="1" applyBorder="1" applyAlignment="1">
      <alignment horizontal="center" vertical="center"/>
    </xf>
    <xf numFmtId="0" fontId="21" fillId="4" borderId="58" xfId="0" applyFont="1" applyFill="1" applyBorder="1" applyAlignment="1">
      <alignment horizontal="center" vertical="center"/>
    </xf>
    <xf numFmtId="0" fontId="21" fillId="10" borderId="21" xfId="0" applyFont="1" applyFill="1" applyBorder="1" applyAlignment="1">
      <alignment horizontal="center" vertical="center"/>
    </xf>
    <xf numFmtId="0" fontId="21" fillId="6" borderId="32" xfId="0" applyFont="1" applyFill="1" applyBorder="1" applyAlignment="1">
      <alignment horizontal="center" vertical="center"/>
    </xf>
    <xf numFmtId="0" fontId="21" fillId="6" borderId="50" xfId="0" applyFont="1" applyFill="1" applyBorder="1" applyAlignment="1">
      <alignment horizontal="center" vertical="center"/>
    </xf>
    <xf numFmtId="0" fontId="21" fillId="4" borderId="28" xfId="0" applyFont="1" applyFill="1" applyBorder="1" applyAlignment="1">
      <alignment horizontal="center" vertical="center"/>
    </xf>
    <xf numFmtId="0" fontId="21" fillId="3" borderId="9" xfId="0" applyFont="1" applyFill="1" applyBorder="1" applyAlignment="1">
      <alignment horizontal="center" vertical="center"/>
    </xf>
    <xf numFmtId="0" fontId="21" fillId="3" borderId="35" xfId="0" applyFont="1" applyFill="1" applyBorder="1" applyAlignment="1">
      <alignment horizontal="center" vertical="center"/>
    </xf>
    <xf numFmtId="0" fontId="21" fillId="3" borderId="10" xfId="0" applyFont="1" applyFill="1" applyBorder="1" applyAlignment="1">
      <alignment horizontal="center" vertical="center"/>
    </xf>
    <xf numFmtId="0" fontId="21" fillId="4" borderId="32" xfId="0" applyFont="1" applyFill="1" applyBorder="1" applyAlignment="1">
      <alignment horizontal="center" vertical="center"/>
    </xf>
    <xf numFmtId="0" fontId="21" fillId="4" borderId="50" xfId="0" applyFont="1" applyFill="1" applyBorder="1" applyAlignment="1">
      <alignment horizontal="center" vertical="center"/>
    </xf>
    <xf numFmtId="0" fontId="21" fillId="5" borderId="9" xfId="0" applyFont="1" applyFill="1" applyBorder="1" applyAlignment="1">
      <alignment horizontal="center" vertical="center"/>
    </xf>
    <xf numFmtId="0" fontId="21" fillId="5" borderId="36" xfId="0" applyFont="1" applyFill="1" applyBorder="1" applyAlignment="1">
      <alignment horizontal="center" vertical="center"/>
    </xf>
    <xf numFmtId="0" fontId="21" fillId="5" borderId="10" xfId="0" applyFont="1" applyFill="1" applyBorder="1" applyAlignment="1">
      <alignment horizontal="center" vertical="center"/>
    </xf>
    <xf numFmtId="0" fontId="21" fillId="5" borderId="58" xfId="0" applyFont="1" applyFill="1" applyBorder="1" applyAlignment="1">
      <alignment horizontal="center" vertical="center"/>
    </xf>
    <xf numFmtId="0" fontId="21" fillId="4" borderId="21" xfId="0" applyFont="1" applyFill="1" applyBorder="1" applyAlignment="1">
      <alignment horizontal="center" vertical="center"/>
    </xf>
    <xf numFmtId="0" fontId="21" fillId="3" borderId="32" xfId="0" applyFont="1" applyFill="1" applyBorder="1" applyAlignment="1">
      <alignment horizontal="center" vertical="center"/>
    </xf>
    <xf numFmtId="0" fontId="21" fillId="3" borderId="18" xfId="0" applyFont="1" applyFill="1" applyBorder="1" applyAlignment="1">
      <alignment horizontal="center" vertical="center"/>
    </xf>
    <xf numFmtId="0" fontId="21" fillId="3" borderId="28" xfId="0" applyFont="1" applyFill="1" applyBorder="1" applyAlignment="1">
      <alignment horizontal="center" vertical="center"/>
    </xf>
    <xf numFmtId="0" fontId="21" fillId="3" borderId="58" xfId="0" applyFont="1" applyFill="1" applyBorder="1" applyAlignment="1">
      <alignment horizontal="center" vertical="center"/>
    </xf>
    <xf numFmtId="0" fontId="21" fillId="8" borderId="32" xfId="0" applyFont="1" applyFill="1" applyBorder="1" applyAlignment="1">
      <alignment horizontal="center" vertical="center"/>
    </xf>
    <xf numFmtId="0" fontId="21" fillId="8" borderId="50" xfId="0" applyFont="1" applyFill="1" applyBorder="1" applyAlignment="1">
      <alignment horizontal="center" vertical="center"/>
    </xf>
    <xf numFmtId="0" fontId="21" fillId="11" borderId="9" xfId="0" applyFont="1" applyFill="1" applyBorder="1" applyAlignment="1">
      <alignment horizontal="center" vertical="center"/>
    </xf>
    <xf numFmtId="0" fontId="21" fillId="11" borderId="10" xfId="0" applyFont="1" applyFill="1" applyBorder="1" applyAlignment="1">
      <alignment horizontal="center" vertical="center"/>
    </xf>
    <xf numFmtId="0" fontId="21" fillId="3" borderId="50" xfId="0" applyFont="1" applyFill="1" applyBorder="1" applyAlignment="1">
      <alignment horizontal="center" vertical="center"/>
    </xf>
    <xf numFmtId="0" fontId="21" fillId="3" borderId="36" xfId="0" applyFont="1" applyFill="1" applyBorder="1" applyAlignment="1">
      <alignment horizontal="center" vertical="center"/>
    </xf>
    <xf numFmtId="0" fontId="21" fillId="11" borderId="35" xfId="0" applyFont="1" applyFill="1" applyBorder="1" applyAlignment="1">
      <alignment horizontal="center" vertical="center"/>
    </xf>
    <xf numFmtId="0" fontId="21" fillId="11" borderId="58" xfId="0" applyFont="1" applyFill="1" applyBorder="1" applyAlignment="1">
      <alignment horizontal="center" vertical="center"/>
    </xf>
    <xf numFmtId="0" fontId="21" fillId="11" borderId="24" xfId="0" applyFont="1" applyFill="1" applyBorder="1" applyAlignment="1">
      <alignment horizontal="center" vertical="center"/>
    </xf>
    <xf numFmtId="0" fontId="21" fillId="5" borderId="35" xfId="0" applyFont="1" applyFill="1" applyBorder="1" applyAlignment="1">
      <alignment horizontal="center" vertical="center"/>
    </xf>
    <xf numFmtId="0" fontId="21" fillId="3" borderId="13" xfId="0" applyFont="1" applyFill="1" applyBorder="1" applyAlignment="1">
      <alignment horizontal="center" vertical="center"/>
    </xf>
    <xf numFmtId="0" fontId="21" fillId="3" borderId="21" xfId="0" applyFont="1" applyFill="1" applyBorder="1" applyAlignment="1">
      <alignment horizontal="center" vertical="center"/>
    </xf>
    <xf numFmtId="0" fontId="21" fillId="11" borderId="21" xfId="0" applyFont="1" applyFill="1" applyBorder="1" applyAlignment="1">
      <alignment horizontal="center" vertical="center"/>
    </xf>
    <xf numFmtId="0" fontId="21" fillId="11" borderId="34" xfId="0" applyFont="1" applyFill="1" applyBorder="1" applyAlignment="1">
      <alignment horizontal="center" vertical="center"/>
    </xf>
    <xf numFmtId="0" fontId="21" fillId="3" borderId="25" xfId="0" applyFont="1" applyFill="1" applyBorder="1" applyAlignment="1">
      <alignment horizontal="center" vertical="center"/>
    </xf>
    <xf numFmtId="0" fontId="21" fillId="5" borderId="21" xfId="0" applyFont="1" applyFill="1" applyBorder="1" applyAlignment="1">
      <alignment horizontal="center" vertical="center"/>
    </xf>
    <xf numFmtId="0" fontId="21" fillId="11" borderId="28" xfId="0" applyFont="1" applyFill="1" applyBorder="1" applyAlignment="1">
      <alignment horizontal="center" vertical="center"/>
    </xf>
    <xf numFmtId="0" fontId="21" fillId="11" borderId="36" xfId="0" applyFont="1" applyFill="1" applyBorder="1" applyAlignment="1">
      <alignment horizontal="center" vertical="center"/>
    </xf>
    <xf numFmtId="0" fontId="21" fillId="3" borderId="75" xfId="0" applyFont="1" applyFill="1" applyBorder="1" applyAlignment="1">
      <alignment horizontal="center" vertical="center"/>
    </xf>
    <xf numFmtId="0" fontId="21" fillId="0" borderId="18" xfId="0" applyFont="1" applyBorder="1" applyAlignment="1">
      <alignment horizontal="center" vertical="center"/>
    </xf>
    <xf numFmtId="0" fontId="21" fillId="6" borderId="18" xfId="0" applyFont="1" applyFill="1" applyBorder="1" applyAlignment="1">
      <alignment horizontal="center" vertical="center"/>
    </xf>
    <xf numFmtId="0" fontId="21" fillId="5" borderId="18" xfId="0" applyFont="1" applyFill="1" applyBorder="1" applyAlignment="1">
      <alignment horizontal="center" vertical="center"/>
    </xf>
    <xf numFmtId="0" fontId="21" fillId="11" borderId="18" xfId="0" applyFont="1" applyFill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17" fillId="4" borderId="55" xfId="0" applyFont="1" applyFill="1" applyBorder="1" applyAlignment="1">
      <alignment horizontal="center" vertical="center"/>
    </xf>
    <xf numFmtId="0" fontId="17" fillId="4" borderId="52" xfId="0" applyFont="1" applyFill="1" applyBorder="1" applyAlignment="1">
      <alignment horizontal="center" vertical="center"/>
    </xf>
    <xf numFmtId="0" fontId="17" fillId="4" borderId="32" xfId="0" applyFont="1" applyFill="1" applyBorder="1" applyAlignment="1">
      <alignment horizontal="center" vertical="center"/>
    </xf>
    <xf numFmtId="0" fontId="17" fillId="4" borderId="42" xfId="0" applyFont="1" applyFill="1" applyBorder="1" applyAlignment="1">
      <alignment horizontal="center" vertical="center"/>
    </xf>
    <xf numFmtId="0" fontId="17" fillId="4" borderId="2" xfId="0" applyFont="1" applyFill="1" applyBorder="1" applyAlignment="1">
      <alignment horizontal="center" vertical="center"/>
    </xf>
    <xf numFmtId="0" fontId="21" fillId="5" borderId="24" xfId="0" applyFont="1" applyFill="1" applyBorder="1" applyAlignment="1">
      <alignment horizontal="center" vertical="center"/>
    </xf>
    <xf numFmtId="0" fontId="21" fillId="5" borderId="50" xfId="0" applyFont="1" applyFill="1" applyBorder="1" applyAlignment="1">
      <alignment horizontal="center" vertical="center"/>
    </xf>
    <xf numFmtId="0" fontId="16" fillId="5" borderId="64" xfId="0" applyFont="1" applyFill="1" applyBorder="1" applyAlignment="1">
      <alignment horizontal="center" vertical="center"/>
    </xf>
    <xf numFmtId="176" fontId="0" fillId="5" borderId="64" xfId="0" applyNumberFormat="1" applyFill="1" applyBorder="1" applyAlignment="1">
      <alignment horizontal="center" vertical="center"/>
    </xf>
    <xf numFmtId="179" fontId="22" fillId="8" borderId="52" xfId="0" applyNumberFormat="1" applyFont="1" applyFill="1" applyBorder="1" applyAlignment="1">
      <alignment horizontal="center" vertical="center"/>
    </xf>
    <xf numFmtId="177" fontId="0" fillId="5" borderId="59" xfId="0" applyNumberFormat="1" applyFill="1" applyBorder="1" applyAlignment="1">
      <alignment horizontal="center" vertical="center"/>
    </xf>
    <xf numFmtId="177" fontId="0" fillId="5" borderId="52" xfId="0" applyNumberFormat="1" applyFill="1" applyBorder="1" applyAlignment="1">
      <alignment horizontal="center" vertical="center"/>
    </xf>
    <xf numFmtId="177" fontId="0" fillId="5" borderId="50" xfId="0" applyNumberFormat="1" applyFill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21" fillId="10" borderId="13" xfId="0" applyFont="1" applyFill="1" applyBorder="1" applyAlignment="1">
      <alignment horizontal="center" vertical="center"/>
    </xf>
    <xf numFmtId="0" fontId="16" fillId="10" borderId="27" xfId="0" applyFont="1" applyFill="1" applyBorder="1" applyAlignment="1">
      <alignment horizontal="center" vertical="center"/>
    </xf>
    <xf numFmtId="182" fontId="0" fillId="10" borderId="27" xfId="0" applyNumberFormat="1" applyFill="1" applyBorder="1" applyAlignment="1">
      <alignment horizontal="center" vertical="center"/>
    </xf>
    <xf numFmtId="181" fontId="0" fillId="10" borderId="16" xfId="0" applyNumberFormat="1" applyFill="1" applyBorder="1" applyAlignment="1">
      <alignment horizontal="center" vertical="center"/>
    </xf>
    <xf numFmtId="181" fontId="0" fillId="10" borderId="25" xfId="0" applyNumberFormat="1" applyFill="1" applyBorder="1" applyAlignment="1">
      <alignment horizontal="center" vertical="center"/>
    </xf>
    <xf numFmtId="176" fontId="0" fillId="10" borderId="27" xfId="0" applyNumberFormat="1" applyFill="1" applyBorder="1" applyAlignment="1">
      <alignment horizontal="center" vertical="center"/>
    </xf>
    <xf numFmtId="176" fontId="0" fillId="10" borderId="16" xfId="0" applyNumberFormat="1" applyFill="1" applyBorder="1" applyAlignment="1">
      <alignment horizontal="center" vertical="center"/>
    </xf>
    <xf numFmtId="176" fontId="0" fillId="10" borderId="15" xfId="0" applyNumberFormat="1" applyFill="1" applyBorder="1" applyAlignment="1">
      <alignment horizontal="center" vertical="center"/>
    </xf>
    <xf numFmtId="176" fontId="0" fillId="10" borderId="25" xfId="0" applyNumberFormat="1" applyFill="1" applyBorder="1" applyAlignment="1">
      <alignment horizontal="center" vertical="center"/>
    </xf>
    <xf numFmtId="0" fontId="0" fillId="10" borderId="27" xfId="0" applyFill="1" applyBorder="1" applyAlignment="1">
      <alignment horizontal="center" vertical="center"/>
    </xf>
    <xf numFmtId="178" fontId="0" fillId="10" borderId="16" xfId="0" applyNumberFormat="1" applyFill="1" applyBorder="1" applyAlignment="1">
      <alignment horizontal="center" vertical="center"/>
    </xf>
    <xf numFmtId="180" fontId="0" fillId="10" borderId="27" xfId="0" applyNumberFormat="1" applyFill="1" applyBorder="1" applyAlignment="1">
      <alignment horizontal="center" vertical="center"/>
    </xf>
    <xf numFmtId="0" fontId="0" fillId="10" borderId="16" xfId="0" applyFill="1" applyBorder="1" applyAlignment="1">
      <alignment horizontal="center" vertical="center"/>
    </xf>
    <xf numFmtId="0" fontId="0" fillId="10" borderId="15" xfId="0" applyFill="1" applyBorder="1" applyAlignment="1">
      <alignment horizontal="center" vertical="center"/>
    </xf>
    <xf numFmtId="0" fontId="0" fillId="10" borderId="25" xfId="0" applyFill="1" applyBorder="1" applyAlignment="1">
      <alignment horizontal="center" vertical="center"/>
    </xf>
    <xf numFmtId="177" fontId="0" fillId="10" borderId="16" xfId="0" applyNumberFormat="1" applyFill="1" applyBorder="1" applyAlignment="1">
      <alignment horizontal="center" vertical="center"/>
    </xf>
    <xf numFmtId="177" fontId="0" fillId="10" borderId="15" xfId="0" applyNumberFormat="1" applyFill="1" applyBorder="1" applyAlignment="1">
      <alignment horizontal="center" vertical="center"/>
    </xf>
    <xf numFmtId="177" fontId="0" fillId="10" borderId="25" xfId="0" applyNumberFormat="1" applyFill="1" applyBorder="1" applyAlignment="1">
      <alignment horizontal="center" vertical="center"/>
    </xf>
    <xf numFmtId="0" fontId="0" fillId="10" borderId="77" xfId="0" applyFill="1" applyBorder="1" applyAlignment="1">
      <alignment horizontal="center" vertical="center"/>
    </xf>
    <xf numFmtId="0" fontId="21" fillId="10" borderId="9" xfId="0" applyFont="1" applyFill="1" applyBorder="1" applyAlignment="1">
      <alignment horizontal="center" vertical="center"/>
    </xf>
    <xf numFmtId="0" fontId="16" fillId="10" borderId="61" xfId="0" applyFont="1" applyFill="1" applyBorder="1" applyAlignment="1">
      <alignment horizontal="center" vertical="center"/>
    </xf>
    <xf numFmtId="182" fontId="0" fillId="10" borderId="61" xfId="0" applyNumberFormat="1" applyFill="1" applyBorder="1" applyAlignment="1">
      <alignment horizontal="center" vertical="center"/>
    </xf>
    <xf numFmtId="181" fontId="0" fillId="10" borderId="11" xfId="0" applyNumberFormat="1" applyFill="1" applyBorder="1" applyAlignment="1">
      <alignment horizontal="center" vertical="center"/>
    </xf>
    <xf numFmtId="181" fontId="0" fillId="10" borderId="57" xfId="0" applyNumberFormat="1" applyFill="1" applyBorder="1" applyAlignment="1">
      <alignment horizontal="center" vertical="center"/>
    </xf>
    <xf numFmtId="176" fontId="0" fillId="10" borderId="61" xfId="0" applyNumberFormat="1" applyFill="1" applyBorder="1" applyAlignment="1">
      <alignment horizontal="center" vertical="center"/>
    </xf>
    <xf numFmtId="176" fontId="0" fillId="10" borderId="11" xfId="0" applyNumberFormat="1" applyFill="1" applyBorder="1" applyAlignment="1">
      <alignment horizontal="center" vertical="center"/>
    </xf>
    <xf numFmtId="176" fontId="0" fillId="10" borderId="3" xfId="0" applyNumberFormat="1" applyFill="1" applyBorder="1" applyAlignment="1">
      <alignment horizontal="center" vertical="center"/>
    </xf>
    <xf numFmtId="176" fontId="0" fillId="10" borderId="57" xfId="0" applyNumberFormat="1" applyFill="1" applyBorder="1" applyAlignment="1">
      <alignment horizontal="center" vertical="center"/>
    </xf>
    <xf numFmtId="0" fontId="0" fillId="10" borderId="61" xfId="0" applyFill="1" applyBorder="1" applyAlignment="1">
      <alignment horizontal="center" vertical="center"/>
    </xf>
    <xf numFmtId="178" fontId="0" fillId="10" borderId="11" xfId="0" applyNumberFormat="1" applyFill="1" applyBorder="1" applyAlignment="1">
      <alignment horizontal="center" vertical="center"/>
    </xf>
    <xf numFmtId="180" fontId="0" fillId="10" borderId="61" xfId="0" applyNumberFormat="1" applyFill="1" applyBorder="1" applyAlignment="1">
      <alignment horizontal="center" vertical="center"/>
    </xf>
    <xf numFmtId="0" fontId="0" fillId="10" borderId="11" xfId="0" applyFill="1" applyBorder="1" applyAlignment="1">
      <alignment horizontal="center" vertical="center"/>
    </xf>
    <xf numFmtId="0" fontId="0" fillId="10" borderId="3" xfId="0" applyFill="1" applyBorder="1" applyAlignment="1">
      <alignment horizontal="center" vertical="center"/>
    </xf>
    <xf numFmtId="0" fontId="0" fillId="10" borderId="57" xfId="0" applyFill="1" applyBorder="1" applyAlignment="1">
      <alignment horizontal="center" vertical="center"/>
    </xf>
    <xf numFmtId="177" fontId="0" fillId="10" borderId="11" xfId="0" applyNumberFormat="1" applyFill="1" applyBorder="1" applyAlignment="1">
      <alignment horizontal="center" vertical="center"/>
    </xf>
    <xf numFmtId="177" fontId="0" fillId="10" borderId="3" xfId="0" applyNumberFormat="1" applyFill="1" applyBorder="1" applyAlignment="1">
      <alignment horizontal="center" vertical="center"/>
    </xf>
    <xf numFmtId="177" fontId="0" fillId="10" borderId="57" xfId="0" applyNumberFormat="1" applyFill="1" applyBorder="1" applyAlignment="1">
      <alignment horizontal="center" vertical="center"/>
    </xf>
    <xf numFmtId="0" fontId="0" fillId="10" borderId="4" xfId="0" applyFill="1" applyBorder="1" applyAlignment="1">
      <alignment horizontal="center" vertical="center"/>
    </xf>
    <xf numFmtId="176" fontId="22" fillId="10" borderId="26" xfId="0" applyNumberFormat="1" applyFont="1" applyFill="1" applyBorder="1" applyAlignment="1">
      <alignment horizontal="center" vertical="center"/>
    </xf>
    <xf numFmtId="176" fontId="22" fillId="10" borderId="62" xfId="0" applyNumberFormat="1" applyFont="1" applyFill="1" applyBorder="1" applyAlignment="1">
      <alignment horizontal="center" vertical="center"/>
    </xf>
    <xf numFmtId="0" fontId="21" fillId="0" borderId="32" xfId="0" applyFont="1" applyBorder="1" applyAlignment="1">
      <alignment horizontal="center" vertical="center"/>
    </xf>
    <xf numFmtId="0" fontId="16" fillId="0" borderId="63" xfId="0" applyFont="1" applyBorder="1" applyAlignment="1">
      <alignment horizontal="center" vertical="center"/>
    </xf>
    <xf numFmtId="182" fontId="0" fillId="0" borderId="63" xfId="0" applyNumberFormat="1" applyBorder="1" applyAlignment="1">
      <alignment horizontal="center" vertical="center"/>
    </xf>
    <xf numFmtId="181" fontId="0" fillId="0" borderId="60" xfId="0" applyNumberFormat="1" applyBorder="1" applyAlignment="1">
      <alignment horizontal="center" vertical="center"/>
    </xf>
    <xf numFmtId="181" fontId="0" fillId="0" borderId="55" xfId="0" applyNumberFormat="1" applyBorder="1" applyAlignment="1">
      <alignment horizontal="center" vertical="center"/>
    </xf>
    <xf numFmtId="181" fontId="0" fillId="0" borderId="32" xfId="0" applyNumberFormat="1" applyBorder="1" applyAlignment="1">
      <alignment horizontal="center" vertical="center"/>
    </xf>
    <xf numFmtId="176" fontId="0" fillId="0" borderId="60" xfId="0" applyNumberFormat="1" applyBorder="1" applyAlignment="1">
      <alignment horizontal="center" vertical="center"/>
    </xf>
    <xf numFmtId="176" fontId="0" fillId="0" borderId="55" xfId="0" applyNumberFormat="1" applyBorder="1" applyAlignment="1">
      <alignment horizontal="center" vertical="center"/>
    </xf>
    <xf numFmtId="176" fontId="0" fillId="0" borderId="32" xfId="0" applyNumberFormat="1" applyBorder="1" applyAlignment="1">
      <alignment horizontal="center" vertical="center"/>
    </xf>
    <xf numFmtId="176" fontId="0" fillId="0" borderId="63" xfId="0" applyNumberFormat="1" applyBorder="1" applyAlignment="1">
      <alignment horizontal="center" vertical="center"/>
    </xf>
    <xf numFmtId="179" fontId="0" fillId="0" borderId="55" xfId="0" applyNumberFormat="1" applyBorder="1" applyAlignment="1">
      <alignment horizontal="center" vertical="center"/>
    </xf>
    <xf numFmtId="179" fontId="0" fillId="0" borderId="32" xfId="0" applyNumberFormat="1" applyBorder="1" applyAlignment="1">
      <alignment horizontal="center" vertical="center"/>
    </xf>
    <xf numFmtId="177" fontId="0" fillId="4" borderId="79" xfId="0" applyNumberFormat="1" applyFill="1" applyBorder="1" applyAlignment="1">
      <alignment horizontal="center" vertical="center"/>
    </xf>
    <xf numFmtId="177" fontId="0" fillId="4" borderId="47" xfId="0" applyNumberFormat="1" applyFill="1" applyBorder="1" applyAlignment="1">
      <alignment horizontal="center" vertical="center"/>
    </xf>
    <xf numFmtId="177" fontId="0" fillId="4" borderId="80" xfId="0" applyNumberFormat="1" applyFill="1" applyBorder="1" applyAlignment="1">
      <alignment horizontal="center" vertical="center"/>
    </xf>
    <xf numFmtId="0" fontId="21" fillId="4" borderId="10" xfId="0" applyFont="1" applyFill="1" applyBorder="1" applyAlignment="1">
      <alignment horizontal="center" vertical="center"/>
    </xf>
    <xf numFmtId="0" fontId="16" fillId="4" borderId="62" xfId="0" applyFont="1" applyFill="1" applyBorder="1" applyAlignment="1">
      <alignment horizontal="center" vertical="center"/>
    </xf>
    <xf numFmtId="182" fontId="0" fillId="4" borderId="62" xfId="0" applyNumberFormat="1" applyFill="1" applyBorder="1" applyAlignment="1">
      <alignment horizontal="center" vertical="center"/>
    </xf>
    <xf numFmtId="181" fontId="0" fillId="4" borderId="12" xfId="0" applyNumberFormat="1" applyFill="1" applyBorder="1" applyAlignment="1">
      <alignment horizontal="center" vertical="center"/>
    </xf>
    <xf numFmtId="181" fontId="0" fillId="4" borderId="7" xfId="0" applyNumberFormat="1" applyFill="1" applyBorder="1" applyAlignment="1">
      <alignment horizontal="center" vertical="center"/>
    </xf>
    <xf numFmtId="181" fontId="0" fillId="4" borderId="24" xfId="0" applyNumberFormat="1" applyFill="1" applyBorder="1" applyAlignment="1">
      <alignment horizontal="center" vertical="center"/>
    </xf>
    <xf numFmtId="0" fontId="0" fillId="4" borderId="62" xfId="0" applyFill="1" applyBorder="1" applyAlignment="1">
      <alignment horizontal="center" vertical="center"/>
    </xf>
    <xf numFmtId="176" fontId="0" fillId="4" borderId="12" xfId="0" applyNumberFormat="1" applyFill="1" applyBorder="1" applyAlignment="1">
      <alignment horizontal="center" vertical="center"/>
    </xf>
    <xf numFmtId="176" fontId="0" fillId="4" borderId="7" xfId="0" applyNumberFormat="1" applyFill="1" applyBorder="1" applyAlignment="1">
      <alignment horizontal="center" vertical="center"/>
    </xf>
    <xf numFmtId="176" fontId="0" fillId="4" borderId="24" xfId="0" applyNumberFormat="1" applyFill="1" applyBorder="1" applyAlignment="1">
      <alignment horizontal="center" vertical="center"/>
    </xf>
    <xf numFmtId="176" fontId="17" fillId="4" borderId="62" xfId="0" applyNumberFormat="1" applyFont="1" applyFill="1" applyBorder="1" applyAlignment="1">
      <alignment horizontal="center" vertical="center"/>
    </xf>
    <xf numFmtId="179" fontId="0" fillId="4" borderId="24" xfId="0" applyNumberFormat="1" applyFill="1" applyBorder="1" applyAlignment="1">
      <alignment horizontal="center" vertical="center"/>
    </xf>
    <xf numFmtId="178" fontId="0" fillId="4" borderId="12" xfId="0" applyNumberFormat="1" applyFill="1" applyBorder="1" applyAlignment="1">
      <alignment horizontal="center" vertical="center"/>
    </xf>
    <xf numFmtId="178" fontId="0" fillId="4" borderId="7" xfId="0" applyNumberFormat="1" applyFill="1" applyBorder="1" applyAlignment="1">
      <alignment horizontal="center" vertical="center"/>
    </xf>
    <xf numFmtId="178" fontId="0" fillId="4" borderId="24" xfId="0" applyNumberFormat="1" applyFill="1" applyBorder="1" applyAlignment="1">
      <alignment horizontal="center" vertical="center"/>
    </xf>
    <xf numFmtId="180" fontId="0" fillId="4" borderId="62" xfId="0" applyNumberFormat="1" applyFill="1" applyBorder="1" applyAlignment="1">
      <alignment horizontal="center" vertical="center"/>
    </xf>
    <xf numFmtId="177" fontId="0" fillId="4" borderId="12" xfId="0" applyNumberFormat="1" applyFill="1" applyBorder="1" applyAlignment="1">
      <alignment horizontal="center" vertical="center"/>
    </xf>
    <xf numFmtId="177" fontId="0" fillId="4" borderId="7" xfId="0" applyNumberFormat="1" applyFill="1" applyBorder="1" applyAlignment="1">
      <alignment horizontal="center" vertical="center"/>
    </xf>
    <xf numFmtId="177" fontId="0" fillId="4" borderId="24" xfId="0" applyNumberFormat="1" applyFill="1" applyBorder="1" applyAlignment="1">
      <alignment horizontal="center" vertical="center"/>
    </xf>
    <xf numFmtId="0" fontId="0" fillId="3" borderId="43" xfId="0" applyFill="1" applyBorder="1" applyAlignment="1">
      <alignment horizontal="center" vertical="center"/>
    </xf>
    <xf numFmtId="0" fontId="0" fillId="4" borderId="43" xfId="0" applyFill="1" applyBorder="1" applyAlignment="1">
      <alignment horizontal="center" vertical="center"/>
    </xf>
    <xf numFmtId="0" fontId="0" fillId="4" borderId="44" xfId="0" applyFill="1" applyBorder="1" applyAlignment="1">
      <alignment horizontal="center" vertical="center"/>
    </xf>
    <xf numFmtId="0" fontId="0" fillId="5" borderId="43" xfId="0" applyFill="1" applyBorder="1" applyAlignment="1">
      <alignment horizontal="center" vertical="center"/>
    </xf>
    <xf numFmtId="0" fontId="0" fillId="5" borderId="44" xfId="0" applyFill="1" applyBorder="1" applyAlignment="1">
      <alignment horizontal="center" vertical="center"/>
    </xf>
    <xf numFmtId="0" fontId="17" fillId="9" borderId="45" xfId="0" applyFont="1" applyFill="1" applyBorder="1" applyAlignment="1">
      <alignment horizontal="center" vertical="center"/>
    </xf>
    <xf numFmtId="0" fontId="17" fillId="9" borderId="43" xfId="0" applyFont="1" applyFill="1" applyBorder="1" applyAlignment="1">
      <alignment horizontal="center" vertical="center"/>
    </xf>
    <xf numFmtId="0" fontId="17" fillId="9" borderId="42" xfId="0" applyFont="1" applyFill="1" applyBorder="1" applyAlignment="1">
      <alignment horizontal="center" vertical="center"/>
    </xf>
    <xf numFmtId="0" fontId="17" fillId="9" borderId="56" xfId="0" applyFont="1" applyFill="1" applyBorder="1" applyAlignment="1">
      <alignment horizontal="center" vertical="center"/>
    </xf>
    <xf numFmtId="0" fontId="6" fillId="0" borderId="54" xfId="0" applyFont="1" applyBorder="1" applyAlignment="1">
      <alignment horizontal="center" vertical="center"/>
    </xf>
    <xf numFmtId="0" fontId="17" fillId="9" borderId="44" xfId="0" applyFont="1" applyFill="1" applyBorder="1" applyAlignment="1">
      <alignment horizontal="center" vertical="center"/>
    </xf>
    <xf numFmtId="0" fontId="17" fillId="9" borderId="71" xfId="0" applyFont="1" applyFill="1" applyBorder="1" applyAlignment="1">
      <alignment horizontal="center" vertical="center"/>
    </xf>
    <xf numFmtId="0" fontId="0" fillId="0" borderId="6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1" fillId="4" borderId="26" xfId="0" applyFont="1" applyFill="1" applyBorder="1" applyAlignment="1">
      <alignment horizontal="center" vertical="center"/>
    </xf>
    <xf numFmtId="0" fontId="21" fillId="4" borderId="79" xfId="0" applyFont="1" applyFill="1" applyBorder="1" applyAlignment="1">
      <alignment horizontal="center" vertical="center"/>
    </xf>
    <xf numFmtId="0" fontId="21" fillId="4" borderId="47" xfId="0" applyFont="1" applyFill="1" applyBorder="1" applyAlignment="1">
      <alignment horizontal="center" vertical="center"/>
    </xf>
    <xf numFmtId="0" fontId="21" fillId="4" borderId="62" xfId="0" applyFont="1" applyFill="1" applyBorder="1" applyAlignment="1">
      <alignment horizontal="center" vertical="center"/>
    </xf>
    <xf numFmtId="0" fontId="21" fillId="4" borderId="12" xfId="0" applyFont="1" applyFill="1" applyBorder="1" applyAlignment="1">
      <alignment horizontal="center" vertical="center"/>
    </xf>
    <xf numFmtId="0" fontId="21" fillId="4" borderId="7" xfId="0" applyFont="1" applyFill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3" borderId="43" xfId="0" applyFill="1" applyBorder="1" applyAlignment="1">
      <alignment horizontal="center" vertical="center"/>
    </xf>
    <xf numFmtId="177" fontId="22" fillId="3" borderId="24" xfId="0" applyNumberFormat="1" applyFont="1" applyFill="1" applyBorder="1" applyAlignment="1">
      <alignment horizontal="center" vertical="center"/>
    </xf>
    <xf numFmtId="0" fontId="18" fillId="6" borderId="63" xfId="0" applyFont="1" applyFill="1" applyBorder="1" applyAlignment="1">
      <alignment horizontal="center" vertical="center" wrapText="1"/>
    </xf>
    <xf numFmtId="182" fontId="18" fillId="6" borderId="63" xfId="0" applyNumberFormat="1" applyFont="1" applyFill="1" applyBorder="1" applyAlignment="1">
      <alignment horizontal="center" vertical="center"/>
    </xf>
    <xf numFmtId="181" fontId="18" fillId="6" borderId="60" xfId="0" applyNumberFormat="1" applyFont="1" applyFill="1" applyBorder="1" applyAlignment="1">
      <alignment horizontal="center" vertical="center"/>
    </xf>
    <xf numFmtId="181" fontId="18" fillId="6" borderId="55" xfId="0" applyNumberFormat="1" applyFont="1" applyFill="1" applyBorder="1" applyAlignment="1">
      <alignment horizontal="center" vertical="center"/>
    </xf>
    <xf numFmtId="181" fontId="18" fillId="6" borderId="32" xfId="0" applyNumberFormat="1" applyFont="1" applyFill="1" applyBorder="1" applyAlignment="1">
      <alignment horizontal="center" vertical="center"/>
    </xf>
    <xf numFmtId="0" fontId="18" fillId="6" borderId="63" xfId="0" applyFont="1" applyFill="1" applyBorder="1" applyAlignment="1">
      <alignment horizontal="center" vertical="center"/>
    </xf>
    <xf numFmtId="176" fontId="18" fillId="6" borderId="60" xfId="0" applyNumberFormat="1" applyFont="1" applyFill="1" applyBorder="1" applyAlignment="1">
      <alignment horizontal="center" vertical="center"/>
    </xf>
    <xf numFmtId="176" fontId="18" fillId="6" borderId="55" xfId="0" applyNumberFormat="1" applyFont="1" applyFill="1" applyBorder="1" applyAlignment="1">
      <alignment horizontal="center" vertical="center"/>
    </xf>
    <xf numFmtId="176" fontId="18" fillId="6" borderId="32" xfId="0" applyNumberFormat="1" applyFont="1" applyFill="1" applyBorder="1" applyAlignment="1">
      <alignment horizontal="center" vertical="center"/>
    </xf>
    <xf numFmtId="176" fontId="18" fillId="6" borderId="63" xfId="0" applyNumberFormat="1" applyFont="1" applyFill="1" applyBorder="1" applyAlignment="1">
      <alignment horizontal="center" vertical="center"/>
    </xf>
    <xf numFmtId="179" fontId="18" fillId="6" borderId="55" xfId="0" applyNumberFormat="1" applyFont="1" applyFill="1" applyBorder="1" applyAlignment="1">
      <alignment horizontal="center" vertical="center"/>
    </xf>
    <xf numFmtId="179" fontId="18" fillId="6" borderId="32" xfId="0" applyNumberFormat="1" applyFont="1" applyFill="1" applyBorder="1" applyAlignment="1">
      <alignment horizontal="center" vertical="center"/>
    </xf>
    <xf numFmtId="178" fontId="18" fillId="6" borderId="60" xfId="0" applyNumberFormat="1" applyFont="1" applyFill="1" applyBorder="1" applyAlignment="1">
      <alignment horizontal="center" vertical="center"/>
    </xf>
    <xf numFmtId="178" fontId="18" fillId="6" borderId="55" xfId="0" applyNumberFormat="1" applyFont="1" applyFill="1" applyBorder="1" applyAlignment="1">
      <alignment horizontal="center" vertical="center"/>
    </xf>
    <xf numFmtId="178" fontId="18" fillId="6" borderId="32" xfId="0" applyNumberFormat="1" applyFont="1" applyFill="1" applyBorder="1" applyAlignment="1">
      <alignment horizontal="center" vertical="center"/>
    </xf>
    <xf numFmtId="180" fontId="18" fillId="6" borderId="63" xfId="0" applyNumberFormat="1" applyFont="1" applyFill="1" applyBorder="1" applyAlignment="1">
      <alignment horizontal="center" vertical="center"/>
    </xf>
    <xf numFmtId="0" fontId="18" fillId="6" borderId="60" xfId="0" applyFont="1" applyFill="1" applyBorder="1" applyAlignment="1">
      <alignment horizontal="center" vertical="center"/>
    </xf>
    <xf numFmtId="0" fontId="18" fillId="6" borderId="55" xfId="0" applyFont="1" applyFill="1" applyBorder="1" applyAlignment="1">
      <alignment horizontal="center" vertical="center"/>
    </xf>
    <xf numFmtId="0" fontId="18" fillId="6" borderId="32" xfId="0" applyFont="1" applyFill="1" applyBorder="1" applyAlignment="1">
      <alignment horizontal="center" vertical="center"/>
    </xf>
    <xf numFmtId="177" fontId="18" fillId="6" borderId="60" xfId="0" applyNumberFormat="1" applyFont="1" applyFill="1" applyBorder="1" applyAlignment="1">
      <alignment horizontal="center" vertical="center"/>
    </xf>
    <xf numFmtId="177" fontId="18" fillId="6" borderId="55" xfId="0" applyNumberFormat="1" applyFont="1" applyFill="1" applyBorder="1" applyAlignment="1">
      <alignment horizontal="center" vertical="center"/>
    </xf>
    <xf numFmtId="177" fontId="18" fillId="6" borderId="32" xfId="0" applyNumberFormat="1" applyFont="1" applyFill="1" applyBorder="1" applyAlignment="1">
      <alignment horizontal="center" vertical="center"/>
    </xf>
    <xf numFmtId="0" fontId="18" fillId="6" borderId="75" xfId="0" applyFont="1" applyFill="1" applyBorder="1" applyAlignment="1">
      <alignment horizontal="center" vertical="center"/>
    </xf>
    <xf numFmtId="0" fontId="18" fillId="6" borderId="67" xfId="0" applyFont="1" applyFill="1" applyBorder="1" applyAlignment="1">
      <alignment horizontal="center" vertical="center"/>
    </xf>
    <xf numFmtId="0" fontId="18" fillId="6" borderId="65" xfId="0" applyFont="1" applyFill="1" applyBorder="1" applyAlignment="1">
      <alignment horizontal="center" vertical="center" wrapText="1"/>
    </xf>
    <xf numFmtId="182" fontId="18" fillId="6" borderId="65" xfId="0" applyNumberFormat="1" applyFont="1" applyFill="1" applyBorder="1" applyAlignment="1">
      <alignment horizontal="center" vertical="center"/>
    </xf>
    <xf numFmtId="181" fontId="18" fillId="6" borderId="53" xfId="0" applyNumberFormat="1" applyFont="1" applyFill="1" applyBorder="1" applyAlignment="1">
      <alignment horizontal="center" vertical="center"/>
    </xf>
    <xf numFmtId="181" fontId="18" fillId="6" borderId="1" xfId="0" applyNumberFormat="1" applyFont="1" applyFill="1" applyBorder="1" applyAlignment="1">
      <alignment horizontal="center" vertical="center"/>
    </xf>
    <xf numFmtId="181" fontId="18" fillId="6" borderId="18" xfId="0" applyNumberFormat="1" applyFont="1" applyFill="1" applyBorder="1" applyAlignment="1">
      <alignment horizontal="center" vertical="center"/>
    </xf>
    <xf numFmtId="0" fontId="18" fillId="6" borderId="65" xfId="0" applyFont="1" applyFill="1" applyBorder="1" applyAlignment="1">
      <alignment horizontal="center" vertical="center"/>
    </xf>
    <xf numFmtId="176" fontId="18" fillId="6" borderId="53" xfId="0" applyNumberFormat="1" applyFont="1" applyFill="1" applyBorder="1" applyAlignment="1">
      <alignment horizontal="center" vertical="center"/>
    </xf>
    <xf numFmtId="176" fontId="18" fillId="6" borderId="1" xfId="0" applyNumberFormat="1" applyFont="1" applyFill="1" applyBorder="1" applyAlignment="1">
      <alignment horizontal="center" vertical="center"/>
    </xf>
    <xf numFmtId="176" fontId="18" fillId="6" borderId="18" xfId="0" applyNumberFormat="1" applyFont="1" applyFill="1" applyBorder="1" applyAlignment="1">
      <alignment horizontal="center" vertical="center"/>
    </xf>
    <xf numFmtId="176" fontId="18" fillId="6" borderId="65" xfId="0" applyNumberFormat="1" applyFont="1" applyFill="1" applyBorder="1" applyAlignment="1">
      <alignment horizontal="center" vertical="center"/>
    </xf>
    <xf numFmtId="179" fontId="18" fillId="6" borderId="1" xfId="0" applyNumberFormat="1" applyFont="1" applyFill="1" applyBorder="1" applyAlignment="1">
      <alignment horizontal="center" vertical="center"/>
    </xf>
    <xf numFmtId="179" fontId="18" fillId="6" borderId="18" xfId="0" applyNumberFormat="1" applyFont="1" applyFill="1" applyBorder="1" applyAlignment="1">
      <alignment horizontal="center" vertical="center"/>
    </xf>
    <xf numFmtId="178" fontId="18" fillId="6" borderId="53" xfId="0" applyNumberFormat="1" applyFont="1" applyFill="1" applyBorder="1" applyAlignment="1">
      <alignment horizontal="center" vertical="center"/>
    </xf>
    <xf numFmtId="178" fontId="18" fillId="6" borderId="1" xfId="0" applyNumberFormat="1" applyFont="1" applyFill="1" applyBorder="1" applyAlignment="1">
      <alignment horizontal="center" vertical="center"/>
    </xf>
    <xf numFmtId="178" fontId="18" fillId="6" borderId="18" xfId="0" applyNumberFormat="1" applyFont="1" applyFill="1" applyBorder="1" applyAlignment="1">
      <alignment horizontal="center" vertical="center"/>
    </xf>
    <xf numFmtId="180" fontId="18" fillId="6" borderId="65" xfId="0" applyNumberFormat="1" applyFont="1" applyFill="1" applyBorder="1" applyAlignment="1">
      <alignment horizontal="center" vertical="center"/>
    </xf>
    <xf numFmtId="0" fontId="18" fillId="6" borderId="53" xfId="0" applyFont="1" applyFill="1" applyBorder="1" applyAlignment="1">
      <alignment horizontal="center" vertical="center"/>
    </xf>
    <xf numFmtId="0" fontId="18" fillId="6" borderId="1" xfId="0" applyFont="1" applyFill="1" applyBorder="1" applyAlignment="1">
      <alignment horizontal="center" vertical="center"/>
    </xf>
    <xf numFmtId="0" fontId="18" fillId="6" borderId="18" xfId="0" applyFont="1" applyFill="1" applyBorder="1" applyAlignment="1">
      <alignment horizontal="center" vertical="center"/>
    </xf>
    <xf numFmtId="177" fontId="18" fillId="6" borderId="53" xfId="0" applyNumberFormat="1" applyFont="1" applyFill="1" applyBorder="1" applyAlignment="1">
      <alignment horizontal="center" vertical="center"/>
    </xf>
    <xf numFmtId="177" fontId="18" fillId="6" borderId="1" xfId="0" applyNumberFormat="1" applyFont="1" applyFill="1" applyBorder="1" applyAlignment="1">
      <alignment horizontal="center" vertical="center"/>
    </xf>
    <xf numFmtId="177" fontId="18" fillId="6" borderId="18" xfId="0" applyNumberFormat="1" applyFont="1" applyFill="1" applyBorder="1" applyAlignment="1">
      <alignment horizontal="center" vertical="center"/>
    </xf>
    <xf numFmtId="0" fontId="18" fillId="6" borderId="35" xfId="0" applyFont="1" applyFill="1" applyBorder="1" applyAlignment="1">
      <alignment horizontal="center" vertical="center"/>
    </xf>
    <xf numFmtId="0" fontId="18" fillId="6" borderId="6" xfId="0" applyFont="1" applyFill="1" applyBorder="1" applyAlignment="1">
      <alignment horizontal="center" vertical="center"/>
    </xf>
    <xf numFmtId="0" fontId="21" fillId="6" borderId="74" xfId="0" applyFont="1" applyFill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24" fillId="4" borderId="18" xfId="0" applyFont="1" applyFill="1" applyBorder="1" applyAlignment="1">
      <alignment horizontal="center" vertical="center" shrinkToFit="1"/>
    </xf>
    <xf numFmtId="0" fontId="25" fillId="4" borderId="18" xfId="1" applyFont="1" applyFill="1" applyBorder="1" applyAlignment="1">
      <alignment horizontal="center" vertical="center"/>
    </xf>
    <xf numFmtId="0" fontId="24" fillId="4" borderId="24" xfId="0" applyFont="1" applyFill="1" applyBorder="1" applyAlignment="1">
      <alignment horizontal="center" vertical="center" shrinkToFit="1"/>
    </xf>
    <xf numFmtId="0" fontId="24" fillId="2" borderId="32" xfId="1" applyNumberFormat="1" applyFont="1" applyFill="1" applyBorder="1" applyAlignment="1">
      <alignment horizontal="center" vertical="center"/>
    </xf>
    <xf numFmtId="0" fontId="25" fillId="2" borderId="18" xfId="1" applyFont="1" applyFill="1" applyBorder="1" applyAlignment="1">
      <alignment horizontal="center" vertical="center"/>
    </xf>
    <xf numFmtId="0" fontId="26" fillId="2" borderId="32" xfId="0" applyFont="1" applyFill="1" applyBorder="1" applyAlignment="1">
      <alignment horizontal="center" vertical="center"/>
    </xf>
    <xf numFmtId="0" fontId="26" fillId="2" borderId="18" xfId="0" applyFont="1" applyFill="1" applyBorder="1" applyAlignment="1">
      <alignment horizontal="center" vertical="center"/>
    </xf>
    <xf numFmtId="0" fontId="26" fillId="2" borderId="24" xfId="0" applyFont="1" applyFill="1" applyBorder="1" applyAlignment="1">
      <alignment horizontal="center" vertical="center"/>
    </xf>
    <xf numFmtId="0" fontId="26" fillId="3" borderId="32" xfId="0" applyFont="1" applyFill="1" applyBorder="1" applyAlignment="1">
      <alignment horizontal="center" vertical="center"/>
    </xf>
    <xf numFmtId="0" fontId="26" fillId="3" borderId="18" xfId="0" applyFont="1" applyFill="1" applyBorder="1" applyAlignment="1">
      <alignment horizontal="center" vertical="center"/>
    </xf>
    <xf numFmtId="0" fontId="26" fillId="3" borderId="24" xfId="0" applyFont="1" applyFill="1" applyBorder="1" applyAlignment="1">
      <alignment horizontal="center" vertical="center"/>
    </xf>
    <xf numFmtId="0" fontId="26" fillId="5" borderId="32" xfId="0" applyFont="1" applyFill="1" applyBorder="1" applyAlignment="1">
      <alignment horizontal="center" vertical="center"/>
    </xf>
    <xf numFmtId="0" fontId="26" fillId="5" borderId="18" xfId="0" applyFont="1" applyFill="1" applyBorder="1" applyAlignment="1">
      <alignment horizontal="center" vertical="center"/>
    </xf>
    <xf numFmtId="0" fontId="26" fillId="5" borderId="24" xfId="0" applyFont="1" applyFill="1" applyBorder="1" applyAlignment="1">
      <alignment horizontal="center" vertical="center"/>
    </xf>
    <xf numFmtId="0" fontId="26" fillId="10" borderId="32" xfId="0" applyFont="1" applyFill="1" applyBorder="1" applyAlignment="1">
      <alignment horizontal="center" vertical="center"/>
    </xf>
    <xf numFmtId="0" fontId="26" fillId="10" borderId="18" xfId="0" applyFont="1" applyFill="1" applyBorder="1" applyAlignment="1">
      <alignment horizontal="center" vertical="center"/>
    </xf>
    <xf numFmtId="0" fontId="26" fillId="10" borderId="24" xfId="0" applyFont="1" applyFill="1" applyBorder="1" applyAlignment="1">
      <alignment horizontal="center" vertical="center"/>
    </xf>
    <xf numFmtId="0" fontId="26" fillId="8" borderId="32" xfId="0" applyFont="1" applyFill="1" applyBorder="1" applyAlignment="1">
      <alignment horizontal="center" vertical="center"/>
    </xf>
    <xf numFmtId="0" fontId="26" fillId="8" borderId="18" xfId="0" applyFont="1" applyFill="1" applyBorder="1" applyAlignment="1">
      <alignment horizontal="center" vertical="center"/>
    </xf>
    <xf numFmtId="0" fontId="26" fillId="8" borderId="24" xfId="0" applyFont="1" applyFill="1" applyBorder="1" applyAlignment="1">
      <alignment horizontal="center" vertical="center"/>
    </xf>
    <xf numFmtId="0" fontId="26" fillId="11" borderId="32" xfId="0" applyFont="1" applyFill="1" applyBorder="1" applyAlignment="1">
      <alignment horizontal="center" vertical="center"/>
    </xf>
    <xf numFmtId="0" fontId="26" fillId="11" borderId="18" xfId="0" applyFont="1" applyFill="1" applyBorder="1" applyAlignment="1">
      <alignment horizontal="center" vertical="center"/>
    </xf>
    <xf numFmtId="0" fontId="26" fillId="11" borderId="25" xfId="0" applyFont="1" applyFill="1" applyBorder="1" applyAlignment="1">
      <alignment horizontal="center" vertical="center"/>
    </xf>
    <xf numFmtId="0" fontId="16" fillId="6" borderId="21" xfId="0" applyFont="1" applyFill="1" applyBorder="1" applyAlignment="1">
      <alignment horizontal="center" vertical="center"/>
    </xf>
    <xf numFmtId="0" fontId="16" fillId="4" borderId="30" xfId="0" applyFont="1" applyFill="1" applyBorder="1" applyAlignment="1">
      <alignment horizontal="center" vertical="center"/>
    </xf>
    <xf numFmtId="0" fontId="16" fillId="10" borderId="21" xfId="0" applyFont="1" applyFill="1" applyBorder="1" applyAlignment="1">
      <alignment horizontal="center" vertical="center"/>
    </xf>
    <xf numFmtId="0" fontId="16" fillId="6" borderId="75" xfId="0" applyFont="1" applyFill="1" applyBorder="1" applyAlignment="1">
      <alignment horizontal="center" vertical="center"/>
    </xf>
    <xf numFmtId="0" fontId="16" fillId="6" borderId="36" xfId="0" applyFont="1" applyFill="1" applyBorder="1" applyAlignment="1">
      <alignment horizontal="center" vertical="center"/>
    </xf>
    <xf numFmtId="0" fontId="16" fillId="4" borderId="28" xfId="0" applyFont="1" applyFill="1" applyBorder="1" applyAlignment="1">
      <alignment horizontal="center" vertical="center"/>
    </xf>
    <xf numFmtId="0" fontId="16" fillId="3" borderId="9" xfId="0" applyFont="1" applyFill="1" applyBorder="1" applyAlignment="1">
      <alignment horizontal="center" vertical="center"/>
    </xf>
    <xf numFmtId="0" fontId="16" fillId="3" borderId="35" xfId="0" applyFont="1" applyFill="1" applyBorder="1" applyAlignment="1">
      <alignment horizontal="center" vertical="center"/>
    </xf>
    <xf numFmtId="0" fontId="16" fillId="3" borderId="10" xfId="0" applyFont="1" applyFill="1" applyBorder="1" applyAlignment="1">
      <alignment horizontal="center" vertical="center"/>
    </xf>
    <xf numFmtId="0" fontId="16" fillId="4" borderId="75" xfId="0" applyFont="1" applyFill="1" applyBorder="1" applyAlignment="1">
      <alignment horizontal="center" vertical="center"/>
    </xf>
    <xf numFmtId="0" fontId="16" fillId="4" borderId="36" xfId="0" applyFont="1" applyFill="1" applyBorder="1" applyAlignment="1">
      <alignment horizontal="center" vertical="center"/>
    </xf>
    <xf numFmtId="0" fontId="16" fillId="5" borderId="9" xfId="0" applyFont="1" applyFill="1" applyBorder="1" applyAlignment="1">
      <alignment horizontal="center" vertical="center"/>
    </xf>
    <xf numFmtId="0" fontId="16" fillId="5" borderId="36" xfId="0" applyFont="1" applyFill="1" applyBorder="1" applyAlignment="1">
      <alignment horizontal="center" vertical="center"/>
    </xf>
    <xf numFmtId="0" fontId="16" fillId="5" borderId="10" xfId="0" applyFont="1" applyFill="1" applyBorder="1" applyAlignment="1">
      <alignment horizontal="center" vertical="center"/>
    </xf>
    <xf numFmtId="0" fontId="16" fillId="5" borderId="30" xfId="0" applyFont="1" applyFill="1" applyBorder="1" applyAlignment="1">
      <alignment horizontal="center" vertical="center"/>
    </xf>
    <xf numFmtId="0" fontId="16" fillId="4" borderId="21" xfId="0" applyFont="1" applyFill="1" applyBorder="1" applyAlignment="1">
      <alignment horizontal="center" vertical="center"/>
    </xf>
    <xf numFmtId="0" fontId="16" fillId="3" borderId="26" xfId="0" applyFont="1" applyFill="1" applyBorder="1" applyAlignment="1">
      <alignment vertical="center" wrapText="1"/>
    </xf>
    <xf numFmtId="0" fontId="16" fillId="3" borderId="62" xfId="0" applyFont="1" applyFill="1" applyBorder="1" applyAlignment="1">
      <alignment vertical="center"/>
    </xf>
    <xf numFmtId="0" fontId="16" fillId="3" borderId="75" xfId="0" applyFont="1" applyFill="1" applyBorder="1" applyAlignment="1">
      <alignment horizontal="center" vertical="center"/>
    </xf>
    <xf numFmtId="0" fontId="16" fillId="3" borderId="28" xfId="0" applyFont="1" applyFill="1" applyBorder="1" applyAlignment="1">
      <alignment horizontal="center" vertical="center"/>
    </xf>
    <xf numFmtId="0" fontId="16" fillId="3" borderId="30" xfId="0" applyFont="1" applyFill="1" applyBorder="1" applyAlignment="1">
      <alignment horizontal="center" vertical="center"/>
    </xf>
    <xf numFmtId="0" fontId="16" fillId="8" borderId="75" xfId="0" applyFont="1" applyFill="1" applyBorder="1" applyAlignment="1">
      <alignment horizontal="center" vertical="center"/>
    </xf>
    <xf numFmtId="0" fontId="16" fillId="8" borderId="36" xfId="0" applyFont="1" applyFill="1" applyBorder="1" applyAlignment="1">
      <alignment horizontal="center" vertical="center"/>
    </xf>
    <xf numFmtId="0" fontId="16" fillId="3" borderId="36" xfId="0" applyFont="1" applyFill="1" applyBorder="1" applyAlignment="1">
      <alignment horizontal="center" vertical="center"/>
    </xf>
    <xf numFmtId="0" fontId="16" fillId="11" borderId="9" xfId="0" applyFont="1" applyFill="1" applyBorder="1" applyAlignment="1">
      <alignment horizontal="center" vertical="center"/>
    </xf>
    <xf numFmtId="0" fontId="16" fillId="11" borderId="35" xfId="0" applyFont="1" applyFill="1" applyBorder="1" applyAlignment="1">
      <alignment horizontal="center" vertical="center"/>
    </xf>
    <xf numFmtId="0" fontId="16" fillId="11" borderId="10" xfId="0" applyFont="1" applyFill="1" applyBorder="1" applyAlignment="1">
      <alignment horizontal="center" vertical="center"/>
    </xf>
    <xf numFmtId="0" fontId="16" fillId="11" borderId="30" xfId="0" applyFont="1" applyFill="1" applyBorder="1" applyAlignment="1">
      <alignment horizontal="center" vertical="center"/>
    </xf>
    <xf numFmtId="0" fontId="16" fillId="5" borderId="35" xfId="0" applyFont="1" applyFill="1" applyBorder="1" applyAlignment="1">
      <alignment horizontal="center" vertical="center"/>
    </xf>
    <xf numFmtId="0" fontId="16" fillId="3" borderId="26" xfId="0" applyFont="1" applyFill="1" applyBorder="1" applyAlignment="1">
      <alignment horizontal="center" vertical="center" wrapText="1"/>
    </xf>
    <xf numFmtId="0" fontId="16" fillId="3" borderId="65" xfId="0" applyFont="1" applyFill="1" applyBorder="1" applyAlignment="1">
      <alignment vertical="center" wrapText="1"/>
    </xf>
    <xf numFmtId="0" fontId="16" fillId="3" borderId="27" xfId="0" applyFont="1" applyFill="1" applyBorder="1" applyAlignment="1">
      <alignment vertical="center"/>
    </xf>
    <xf numFmtId="0" fontId="16" fillId="3" borderId="21" xfId="0" applyFont="1" applyFill="1" applyBorder="1" applyAlignment="1">
      <alignment horizontal="center" vertical="center"/>
    </xf>
    <xf numFmtId="0" fontId="16" fillId="11" borderId="21" xfId="0" applyFont="1" applyFill="1" applyBorder="1" applyAlignment="1">
      <alignment horizontal="center" vertical="center"/>
    </xf>
    <xf numFmtId="0" fontId="16" fillId="3" borderId="13" xfId="0" applyFont="1" applyFill="1" applyBorder="1" applyAlignment="1">
      <alignment horizontal="center" vertical="center"/>
    </xf>
    <xf numFmtId="0" fontId="16" fillId="5" borderId="21" xfId="0" applyFont="1" applyFill="1" applyBorder="1" applyAlignment="1">
      <alignment horizontal="center" vertical="center"/>
    </xf>
    <xf numFmtId="0" fontId="16" fillId="11" borderId="35" xfId="0" applyFont="1" applyFill="1" applyBorder="1" applyAlignment="1">
      <alignment vertical="center"/>
    </xf>
    <xf numFmtId="0" fontId="16" fillId="11" borderId="18" xfId="0" applyFont="1" applyFill="1" applyBorder="1" applyAlignment="1">
      <alignment vertical="center"/>
    </xf>
    <xf numFmtId="0" fontId="16" fillId="11" borderId="10" xfId="0" applyFont="1" applyFill="1" applyBorder="1" applyAlignment="1">
      <alignment vertical="center"/>
    </xf>
    <xf numFmtId="0" fontId="16" fillId="11" borderId="24" xfId="0" applyFont="1" applyFill="1" applyBorder="1" applyAlignment="1">
      <alignment vertical="center"/>
    </xf>
    <xf numFmtId="0" fontId="16" fillId="3" borderId="34" xfId="0" applyFont="1" applyFill="1" applyBorder="1" applyAlignment="1">
      <alignment vertical="center"/>
    </xf>
    <xf numFmtId="0" fontId="16" fillId="3" borderId="22" xfId="0" applyFont="1" applyFill="1" applyBorder="1" applyAlignment="1">
      <alignment vertical="center"/>
    </xf>
    <xf numFmtId="0" fontId="16" fillId="11" borderId="9" xfId="0" applyFont="1" applyFill="1" applyBorder="1" applyAlignment="1">
      <alignment vertical="center"/>
    </xf>
    <xf numFmtId="0" fontId="16" fillId="11" borderId="57" xfId="0" applyFont="1" applyFill="1" applyBorder="1" applyAlignment="1">
      <alignment vertical="center"/>
    </xf>
    <xf numFmtId="0" fontId="16" fillId="3" borderId="80" xfId="0" applyFont="1" applyFill="1" applyBorder="1" applyAlignment="1">
      <alignment vertical="center"/>
    </xf>
    <xf numFmtId="0" fontId="16" fillId="3" borderId="48" xfId="0" applyFont="1" applyFill="1" applyBorder="1" applyAlignment="1">
      <alignment vertical="center"/>
    </xf>
    <xf numFmtId="0" fontId="16" fillId="3" borderId="24" xfId="0" applyFont="1" applyFill="1" applyBorder="1" applyAlignment="1">
      <alignment vertical="center"/>
    </xf>
    <xf numFmtId="0" fontId="16" fillId="3" borderId="8" xfId="0" applyFont="1" applyFill="1" applyBorder="1" applyAlignment="1">
      <alignment vertical="center"/>
    </xf>
    <xf numFmtId="0" fontId="16" fillId="3" borderId="57" xfId="0" applyFont="1" applyFill="1" applyBorder="1" applyAlignment="1">
      <alignment vertical="center"/>
    </xf>
    <xf numFmtId="0" fontId="16" fillId="3" borderId="78" xfId="0" applyFont="1" applyFill="1" applyBorder="1" applyAlignment="1">
      <alignment vertical="center"/>
    </xf>
    <xf numFmtId="0" fontId="16" fillId="3" borderId="32" xfId="0" applyFont="1" applyFill="1" applyBorder="1" applyAlignment="1">
      <alignment vertical="center"/>
    </xf>
    <xf numFmtId="0" fontId="16" fillId="10" borderId="9" xfId="0" applyFont="1" applyFill="1" applyBorder="1" applyAlignment="1">
      <alignment horizontal="center" vertical="center"/>
    </xf>
    <xf numFmtId="0" fontId="16" fillId="10" borderId="13" xfId="0" applyFont="1" applyFill="1" applyBorder="1" applyAlignment="1">
      <alignment horizontal="center" vertical="center"/>
    </xf>
    <xf numFmtId="0" fontId="16" fillId="4" borderId="10" xfId="0" applyFont="1" applyFill="1" applyBorder="1" applyAlignment="1">
      <alignment horizontal="center" vertical="center"/>
    </xf>
    <xf numFmtId="0" fontId="16" fillId="0" borderId="75" xfId="0" applyFont="1" applyFill="1" applyBorder="1" applyAlignment="1">
      <alignment horizontal="center" vertical="center"/>
    </xf>
    <xf numFmtId="0" fontId="16" fillId="0" borderId="35" xfId="0" applyFont="1" applyFill="1" applyBorder="1" applyAlignment="1">
      <alignment horizontal="center" vertical="center"/>
    </xf>
    <xf numFmtId="179" fontId="0" fillId="7" borderId="0" xfId="0" applyNumberFormat="1" applyFill="1" applyBorder="1" applyAlignment="1">
      <alignment horizontal="center" vertical="center"/>
    </xf>
    <xf numFmtId="179" fontId="0" fillId="7" borderId="78" xfId="0" applyNumberFormat="1" applyFill="1" applyBorder="1" applyAlignment="1">
      <alignment horizontal="center" vertical="center"/>
    </xf>
    <xf numFmtId="179" fontId="0" fillId="7" borderId="23" xfId="0" applyNumberFormat="1" applyFill="1" applyBorder="1" applyAlignment="1">
      <alignment horizontal="center" vertical="center"/>
    </xf>
    <xf numFmtId="179" fontId="0" fillId="7" borderId="41" xfId="0" applyNumberFormat="1" applyFill="1" applyBorder="1" applyAlignment="1">
      <alignment horizontal="center" vertical="center"/>
    </xf>
    <xf numFmtId="179" fontId="0" fillId="7" borderId="74" xfId="0" applyNumberFormat="1" applyFill="1" applyBorder="1" applyAlignment="1">
      <alignment horizontal="center" vertical="center"/>
    </xf>
    <xf numFmtId="179" fontId="0" fillId="7" borderId="37" xfId="0" applyNumberFormat="1" applyFill="1" applyBorder="1" applyAlignment="1">
      <alignment horizontal="center" vertical="center"/>
    </xf>
    <xf numFmtId="0" fontId="0" fillId="7" borderId="78" xfId="0" applyFill="1" applyBorder="1" applyAlignment="1">
      <alignment horizontal="center" vertical="center"/>
    </xf>
    <xf numFmtId="0" fontId="0" fillId="7" borderId="23" xfId="0" applyFill="1" applyBorder="1" applyAlignment="1">
      <alignment horizontal="center" vertical="center"/>
    </xf>
    <xf numFmtId="0" fontId="0" fillId="7" borderId="41" xfId="0" applyFill="1" applyBorder="1" applyAlignment="1">
      <alignment horizontal="center" vertical="center"/>
    </xf>
    <xf numFmtId="0" fontId="0" fillId="7" borderId="74" xfId="0" applyFill="1" applyBorder="1" applyAlignment="1">
      <alignment horizontal="center" vertical="center"/>
    </xf>
    <xf numFmtId="0" fontId="0" fillId="7" borderId="37" xfId="0" applyFill="1" applyBorder="1" applyAlignment="1">
      <alignment horizontal="center" vertical="center"/>
    </xf>
    <xf numFmtId="0" fontId="22" fillId="4" borderId="79" xfId="0" applyFont="1" applyFill="1" applyBorder="1" applyAlignment="1">
      <alignment horizontal="center" vertical="center"/>
    </xf>
    <xf numFmtId="0" fontId="22" fillId="4" borderId="47" xfId="0" applyFont="1" applyFill="1" applyBorder="1" applyAlignment="1">
      <alignment horizontal="center" vertical="center"/>
    </xf>
    <xf numFmtId="0" fontId="2" fillId="0" borderId="46" xfId="0" applyFont="1" applyBorder="1" applyAlignment="1" applyProtection="1">
      <alignment horizontal="center" vertical="center"/>
      <protection locked="0"/>
    </xf>
    <xf numFmtId="0" fontId="2" fillId="0" borderId="47" xfId="0" applyFont="1" applyBorder="1" applyAlignment="1" applyProtection="1">
      <alignment horizontal="center" vertical="center"/>
      <protection locked="0"/>
    </xf>
    <xf numFmtId="0" fontId="2" fillId="0" borderId="48" xfId="0" applyFont="1" applyBorder="1" applyAlignment="1" applyProtection="1">
      <alignment horizontal="center" vertical="center"/>
      <protection locked="0"/>
    </xf>
    <xf numFmtId="0" fontId="2" fillId="0" borderId="42" xfId="0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0" fontId="2" fillId="0" borderId="20" xfId="0" applyFont="1" applyBorder="1" applyAlignment="1" applyProtection="1">
      <alignment horizontal="center" vertical="center"/>
      <protection locked="0"/>
    </xf>
    <xf numFmtId="0" fontId="2" fillId="0" borderId="21" xfId="0" applyFont="1" applyBorder="1" applyAlignment="1" applyProtection="1">
      <alignment horizontal="center" vertical="center"/>
      <protection locked="0"/>
    </xf>
    <xf numFmtId="0" fontId="2" fillId="0" borderId="43" xfId="0" applyFont="1" applyBorder="1" applyAlignment="1" applyProtection="1">
      <alignment horizontal="center" vertical="center"/>
      <protection locked="0"/>
    </xf>
    <xf numFmtId="0" fontId="2" fillId="0" borderId="66" xfId="0" applyFont="1" applyBorder="1" applyAlignment="1" applyProtection="1">
      <alignment horizontal="center" vertical="center"/>
      <protection locked="0"/>
    </xf>
    <xf numFmtId="0" fontId="2" fillId="0" borderId="22" xfId="0" applyFont="1" applyBorder="1" applyAlignment="1" applyProtection="1">
      <alignment horizontal="center" vertical="center"/>
      <protection locked="0"/>
    </xf>
    <xf numFmtId="0" fontId="2" fillId="0" borderId="44" xfId="0" applyFont="1" applyBorder="1" applyAlignment="1" applyProtection="1">
      <alignment horizontal="center" vertical="center"/>
      <protection locked="0"/>
    </xf>
    <xf numFmtId="0" fontId="2" fillId="0" borderId="19" xfId="0" applyFont="1" applyBorder="1" applyAlignment="1" applyProtection="1">
      <alignment horizontal="center" vertical="center"/>
      <protection locked="0"/>
    </xf>
    <xf numFmtId="0" fontId="0" fillId="7" borderId="30" xfId="0" applyFill="1" applyBorder="1" applyAlignment="1">
      <alignment horizontal="center" vertical="center"/>
    </xf>
    <xf numFmtId="0" fontId="0" fillId="7" borderId="0" xfId="0" applyFill="1" applyBorder="1" applyAlignment="1">
      <alignment horizontal="center" vertical="center"/>
    </xf>
    <xf numFmtId="0" fontId="29" fillId="0" borderId="1" xfId="0" applyFont="1" applyBorder="1" applyAlignment="1">
      <alignment horizontal="center" vertical="center"/>
    </xf>
    <xf numFmtId="0" fontId="29" fillId="0" borderId="5" xfId="0" applyFont="1" applyBorder="1" applyAlignment="1">
      <alignment horizontal="center" vertical="center"/>
    </xf>
    <xf numFmtId="0" fontId="29" fillId="0" borderId="6" xfId="0" applyFont="1" applyBorder="1" applyAlignment="1">
      <alignment horizontal="center" vertical="center"/>
    </xf>
    <xf numFmtId="0" fontId="29" fillId="0" borderId="68" xfId="0" applyFont="1" applyBorder="1" applyAlignment="1">
      <alignment horizontal="center" vertical="center"/>
    </xf>
    <xf numFmtId="0" fontId="29" fillId="0" borderId="7" xfId="0" applyFont="1" applyBorder="1" applyAlignment="1">
      <alignment horizontal="center" vertical="center"/>
    </xf>
    <xf numFmtId="0" fontId="29" fillId="0" borderId="8" xfId="0" applyFont="1" applyBorder="1" applyAlignment="1">
      <alignment horizontal="center" vertical="center"/>
    </xf>
    <xf numFmtId="0" fontId="4" fillId="4" borderId="16" xfId="0" applyFont="1" applyFill="1" applyBorder="1" applyAlignment="1" applyProtection="1">
      <alignment horizontal="center" vertical="center"/>
      <protection locked="0"/>
    </xf>
    <xf numFmtId="0" fontId="4" fillId="3" borderId="27" xfId="0" applyFont="1" applyFill="1" applyBorder="1" applyAlignment="1" applyProtection="1">
      <alignment horizontal="center" vertical="center"/>
      <protection locked="0"/>
    </xf>
    <xf numFmtId="0" fontId="29" fillId="4" borderId="1" xfId="0" applyFont="1" applyFill="1" applyBorder="1" applyAlignment="1">
      <alignment horizontal="center" vertical="center"/>
    </xf>
    <xf numFmtId="0" fontId="29" fillId="4" borderId="7" xfId="0" applyFont="1" applyFill="1" applyBorder="1" applyAlignment="1">
      <alignment horizontal="center" vertical="center"/>
    </xf>
    <xf numFmtId="0" fontId="29" fillId="3" borderId="6" xfId="0" applyFont="1" applyFill="1" applyBorder="1" applyAlignment="1">
      <alignment horizontal="center" vertical="center"/>
    </xf>
    <xf numFmtId="179" fontId="0" fillId="7" borderId="56" xfId="0" applyNumberFormat="1" applyFill="1" applyBorder="1" applyAlignment="1">
      <alignment horizontal="center" vertical="center"/>
    </xf>
    <xf numFmtId="0" fontId="0" fillId="7" borderId="56" xfId="0" applyFill="1" applyBorder="1" applyAlignment="1">
      <alignment horizontal="center" vertical="center"/>
    </xf>
    <xf numFmtId="0" fontId="7" fillId="7" borderId="78" xfId="0" applyFont="1" applyFill="1" applyBorder="1" applyAlignment="1">
      <alignment horizontal="center" vertical="top" wrapText="1"/>
    </xf>
    <xf numFmtId="179" fontId="0" fillId="7" borderId="3" xfId="0" applyNumberFormat="1" applyFill="1" applyBorder="1" applyAlignment="1">
      <alignment horizontal="center" vertical="center"/>
    </xf>
    <xf numFmtId="0" fontId="7" fillId="7" borderId="9" xfId="0" applyFont="1" applyFill="1" applyBorder="1" applyAlignment="1">
      <alignment horizontal="center" vertical="top" wrapText="1"/>
    </xf>
    <xf numFmtId="0" fontId="0" fillId="7" borderId="3" xfId="0" applyFill="1" applyBorder="1" applyAlignment="1">
      <alignment horizontal="center" vertical="center"/>
    </xf>
    <xf numFmtId="0" fontId="7" fillId="7" borderId="3" xfId="0" applyFont="1" applyFill="1" applyBorder="1" applyAlignment="1">
      <alignment horizontal="center" vertical="top" wrapText="1"/>
    </xf>
    <xf numFmtId="0" fontId="7" fillId="7" borderId="23" xfId="0" applyFont="1" applyFill="1" applyBorder="1" applyAlignment="1">
      <alignment horizontal="center" vertical="top" wrapText="1"/>
    </xf>
    <xf numFmtId="179" fontId="0" fillId="7" borderId="1" xfId="0" applyNumberFormat="1" applyFill="1" applyBorder="1" applyAlignment="1">
      <alignment horizontal="center" vertical="center"/>
    </xf>
    <xf numFmtId="0" fontId="7" fillId="7" borderId="35" xfId="0" applyFont="1" applyFill="1" applyBorder="1" applyAlignment="1">
      <alignment horizontal="center" vertical="top" wrapText="1"/>
    </xf>
    <xf numFmtId="0" fontId="0" fillId="7" borderId="1" xfId="0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top" wrapText="1"/>
    </xf>
    <xf numFmtId="0" fontId="7" fillId="7" borderId="41" xfId="0" applyFont="1" applyFill="1" applyBorder="1" applyAlignment="1">
      <alignment horizontal="center" vertical="top" wrapText="1"/>
    </xf>
    <xf numFmtId="179" fontId="0" fillId="7" borderId="7" xfId="0" applyNumberFormat="1" applyFill="1" applyBorder="1" applyAlignment="1">
      <alignment horizontal="center" vertical="center"/>
    </xf>
    <xf numFmtId="0" fontId="7" fillId="7" borderId="10" xfId="0" applyFont="1" applyFill="1" applyBorder="1" applyAlignment="1">
      <alignment horizontal="center" vertical="top" wrapText="1"/>
    </xf>
    <xf numFmtId="0" fontId="0" fillId="7" borderId="7" xfId="0" applyFill="1" applyBorder="1" applyAlignment="1">
      <alignment horizontal="center" vertical="center"/>
    </xf>
    <xf numFmtId="0" fontId="7" fillId="7" borderId="7" xfId="0" applyFont="1" applyFill="1" applyBorder="1" applyAlignment="1">
      <alignment horizontal="center" vertical="top" wrapText="1"/>
    </xf>
    <xf numFmtId="0" fontId="7" fillId="7" borderId="74" xfId="0" applyFont="1" applyFill="1" applyBorder="1" applyAlignment="1">
      <alignment horizontal="center" vertical="top" wrapText="1"/>
    </xf>
    <xf numFmtId="179" fontId="0" fillId="7" borderId="55" xfId="0" applyNumberFormat="1" applyFill="1" applyBorder="1" applyAlignment="1">
      <alignment horizontal="center" vertical="center"/>
    </xf>
    <xf numFmtId="0" fontId="7" fillId="7" borderId="75" xfId="0" applyFont="1" applyFill="1" applyBorder="1" applyAlignment="1">
      <alignment horizontal="center" vertical="top" wrapText="1"/>
    </xf>
    <xf numFmtId="0" fontId="0" fillId="7" borderId="55" xfId="0" applyFill="1" applyBorder="1" applyAlignment="1">
      <alignment horizontal="center" vertical="center"/>
    </xf>
    <xf numFmtId="0" fontId="7" fillId="7" borderId="55" xfId="0" applyFont="1" applyFill="1" applyBorder="1" applyAlignment="1">
      <alignment horizontal="center" vertical="top" wrapText="1"/>
    </xf>
    <xf numFmtId="0" fontId="7" fillId="7" borderId="37" xfId="0" applyFont="1" applyFill="1" applyBorder="1" applyAlignment="1">
      <alignment horizontal="center" vertical="top" wrapText="1"/>
    </xf>
    <xf numFmtId="179" fontId="0" fillId="7" borderId="52" xfId="0" applyNumberFormat="1" applyFill="1" applyBorder="1" applyAlignment="1">
      <alignment horizontal="center" vertical="center"/>
    </xf>
    <xf numFmtId="0" fontId="7" fillId="7" borderId="36" xfId="0" applyFont="1" applyFill="1" applyBorder="1" applyAlignment="1">
      <alignment horizontal="center" vertical="top" wrapText="1"/>
    </xf>
    <xf numFmtId="0" fontId="0" fillId="7" borderId="52" xfId="0" applyFill="1" applyBorder="1" applyAlignment="1">
      <alignment horizontal="center" vertical="center"/>
    </xf>
    <xf numFmtId="0" fontId="7" fillId="7" borderId="52" xfId="0" applyFont="1" applyFill="1" applyBorder="1" applyAlignment="1">
      <alignment horizontal="center" vertical="top" wrapText="1"/>
    </xf>
    <xf numFmtId="0" fontId="0" fillId="7" borderId="42" xfId="0" applyFill="1" applyBorder="1" applyAlignment="1">
      <alignment horizontal="center" vertical="center"/>
    </xf>
    <xf numFmtId="0" fontId="0" fillId="7" borderId="58" xfId="0" applyFill="1" applyBorder="1" applyAlignment="1">
      <alignment horizontal="center" vertical="center"/>
    </xf>
    <xf numFmtId="0" fontId="0" fillId="7" borderId="70" xfId="0" applyFill="1" applyBorder="1" applyAlignment="1">
      <alignment horizontal="center" vertical="center"/>
    </xf>
    <xf numFmtId="0" fontId="0" fillId="7" borderId="71" xfId="0" applyFill="1" applyBorder="1" applyAlignment="1">
      <alignment horizontal="center" vertical="center"/>
    </xf>
    <xf numFmtId="0" fontId="0" fillId="7" borderId="11" xfId="0" applyFill="1" applyBorder="1" applyAlignment="1">
      <alignment horizontal="center" vertical="center"/>
    </xf>
    <xf numFmtId="0" fontId="0" fillId="7" borderId="57" xfId="0" applyFill="1" applyBorder="1" applyAlignment="1">
      <alignment horizontal="center" vertical="center"/>
    </xf>
    <xf numFmtId="0" fontId="0" fillId="7" borderId="2" xfId="0" applyFill="1" applyBorder="1" applyAlignment="1">
      <alignment horizontal="center" vertical="center"/>
    </xf>
    <xf numFmtId="0" fontId="0" fillId="7" borderId="4" xfId="0" applyFill="1" applyBorder="1" applyAlignment="1">
      <alignment horizontal="center" vertical="center"/>
    </xf>
    <xf numFmtId="0" fontId="0" fillId="7" borderId="53" xfId="0" applyFill="1" applyBorder="1" applyAlignment="1">
      <alignment horizontal="center" vertical="center"/>
    </xf>
    <xf numFmtId="0" fontId="0" fillId="7" borderId="18" xfId="0" applyFill="1" applyBorder="1" applyAlignment="1">
      <alignment horizontal="center" vertical="center"/>
    </xf>
    <xf numFmtId="0" fontId="0" fillId="7" borderId="5" xfId="0" applyFill="1" applyBorder="1" applyAlignment="1">
      <alignment horizontal="center" vertical="center"/>
    </xf>
    <xf numFmtId="0" fontId="0" fillId="7" borderId="6" xfId="0" applyFill="1" applyBorder="1" applyAlignment="1">
      <alignment horizontal="center" vertical="center"/>
    </xf>
    <xf numFmtId="0" fontId="0" fillId="7" borderId="12" xfId="0" applyFill="1" applyBorder="1" applyAlignment="1">
      <alignment horizontal="center" vertical="center"/>
    </xf>
    <xf numFmtId="0" fontId="0" fillId="7" borderId="24" xfId="0" applyFill="1" applyBorder="1" applyAlignment="1">
      <alignment horizontal="center" vertical="center"/>
    </xf>
    <xf numFmtId="0" fontId="0" fillId="7" borderId="68" xfId="0" applyFill="1" applyBorder="1" applyAlignment="1">
      <alignment horizontal="center" vertical="center"/>
    </xf>
    <xf numFmtId="0" fontId="0" fillId="7" borderId="8" xfId="0" applyFill="1" applyBorder="1" applyAlignment="1">
      <alignment horizontal="center" vertical="center"/>
    </xf>
    <xf numFmtId="0" fontId="0" fillId="7" borderId="60" xfId="0" applyFill="1" applyBorder="1" applyAlignment="1">
      <alignment horizontal="center" vertical="center"/>
    </xf>
    <xf numFmtId="0" fontId="0" fillId="7" borderId="32" xfId="0" applyFill="1" applyBorder="1" applyAlignment="1">
      <alignment horizontal="center" vertical="center"/>
    </xf>
    <xf numFmtId="0" fontId="0" fillId="7" borderId="69" xfId="0" applyFill="1" applyBorder="1" applyAlignment="1">
      <alignment horizontal="center" vertical="center"/>
    </xf>
    <xf numFmtId="0" fontId="0" fillId="7" borderId="67" xfId="0" applyFill="1" applyBorder="1" applyAlignment="1">
      <alignment horizontal="center" vertical="center"/>
    </xf>
    <xf numFmtId="0" fontId="0" fillId="7" borderId="59" xfId="0" applyFill="1" applyBorder="1" applyAlignment="1">
      <alignment horizontal="center" vertical="center"/>
    </xf>
    <xf numFmtId="0" fontId="0" fillId="7" borderId="50" xfId="0" applyFill="1" applyBorder="1" applyAlignment="1">
      <alignment horizontal="center" vertical="center"/>
    </xf>
    <xf numFmtId="0" fontId="0" fillId="7" borderId="49" xfId="0" applyFill="1" applyBorder="1" applyAlignment="1">
      <alignment horizontal="center" vertical="center"/>
    </xf>
    <xf numFmtId="0" fontId="0" fillId="7" borderId="54" xfId="0" applyFill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9" fillId="0" borderId="3" xfId="0" applyFont="1" applyBorder="1" applyAlignment="1">
      <alignment horizontal="center" vertical="center"/>
    </xf>
    <xf numFmtId="0" fontId="29" fillId="0" borderId="4" xfId="0" applyFont="1" applyBorder="1" applyAlignment="1">
      <alignment horizontal="center" vertical="center"/>
    </xf>
    <xf numFmtId="0" fontId="4" fillId="7" borderId="35" xfId="0" applyFont="1" applyFill="1" applyBorder="1" applyAlignment="1">
      <alignment horizontal="center" vertical="center"/>
    </xf>
    <xf numFmtId="0" fontId="4" fillId="7" borderId="23" xfId="0" applyFont="1" applyFill="1" applyBorder="1" applyAlignment="1">
      <alignment horizontal="center" vertical="center"/>
    </xf>
    <xf numFmtId="0" fontId="4" fillId="7" borderId="38" xfId="0" applyFont="1" applyFill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181" fontId="4" fillId="0" borderId="35" xfId="0" applyNumberFormat="1" applyFont="1" applyBorder="1" applyAlignment="1">
      <alignment horizontal="center" vertical="center"/>
    </xf>
    <xf numFmtId="181" fontId="4" fillId="0" borderId="23" xfId="0" applyNumberFormat="1" applyFont="1" applyBorder="1" applyAlignment="1">
      <alignment horizontal="center" vertical="center"/>
    </xf>
    <xf numFmtId="181" fontId="4" fillId="0" borderId="38" xfId="0" applyNumberFormat="1" applyFont="1" applyBorder="1" applyAlignment="1">
      <alignment horizontal="center" vertical="center"/>
    </xf>
    <xf numFmtId="181" fontId="19" fillId="7" borderId="35" xfId="0" applyNumberFormat="1" applyFont="1" applyFill="1" applyBorder="1" applyAlignment="1">
      <alignment horizontal="center" vertical="center"/>
    </xf>
    <xf numFmtId="181" fontId="19" fillId="7" borderId="38" xfId="0" applyNumberFormat="1" applyFont="1" applyFill="1" applyBorder="1" applyAlignment="1">
      <alignment horizontal="center" vertical="center"/>
    </xf>
    <xf numFmtId="0" fontId="4" fillId="7" borderId="5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0" fontId="4" fillId="7" borderId="6" xfId="0" applyFont="1" applyFill="1" applyBorder="1" applyAlignment="1">
      <alignment horizontal="center" vertical="center"/>
    </xf>
    <xf numFmtId="181" fontId="4" fillId="7" borderId="35" xfId="0" applyNumberFormat="1" applyFont="1" applyFill="1" applyBorder="1" applyAlignment="1">
      <alignment horizontal="center" vertical="center"/>
    </xf>
    <xf numFmtId="181" fontId="4" fillId="7" borderId="38" xfId="0" applyNumberFormat="1" applyFont="1" applyFill="1" applyBorder="1" applyAlignment="1">
      <alignment horizontal="center" vertical="center"/>
    </xf>
    <xf numFmtId="0" fontId="4" fillId="5" borderId="35" xfId="0" applyFont="1" applyFill="1" applyBorder="1" applyAlignment="1">
      <alignment horizontal="center" vertical="center"/>
    </xf>
    <xf numFmtId="0" fontId="4" fillId="5" borderId="38" xfId="0" applyFont="1" applyFill="1" applyBorder="1" applyAlignment="1">
      <alignment horizontal="center" vertical="center"/>
    </xf>
    <xf numFmtId="0" fontId="4" fillId="7" borderId="14" xfId="0" applyFont="1" applyFill="1" applyBorder="1" applyAlignment="1">
      <alignment horizontal="center" vertical="center"/>
    </xf>
    <xf numFmtId="0" fontId="4" fillId="7" borderId="17" xfId="0" applyFont="1" applyFill="1" applyBorder="1" applyAlignment="1">
      <alignment horizontal="center" vertical="center"/>
    </xf>
    <xf numFmtId="0" fontId="4" fillId="7" borderId="77" xfId="0" applyFont="1" applyFill="1" applyBorder="1" applyAlignment="1">
      <alignment horizontal="center" vertical="center"/>
    </xf>
    <xf numFmtId="0" fontId="4" fillId="5" borderId="75" xfId="0" applyFont="1" applyFill="1" applyBorder="1" applyAlignment="1">
      <alignment horizontal="center" vertical="center"/>
    </xf>
    <xf numFmtId="0" fontId="4" fillId="5" borderId="76" xfId="0" applyFont="1" applyFill="1" applyBorder="1" applyAlignment="1">
      <alignment horizontal="center" vertical="center"/>
    </xf>
    <xf numFmtId="181" fontId="4" fillId="0" borderId="13" xfId="0" applyNumberFormat="1" applyFont="1" applyBorder="1" applyAlignment="1">
      <alignment horizontal="center" vertical="center"/>
    </xf>
    <xf numFmtId="181" fontId="4" fillId="0" borderId="17" xfId="0" applyNumberFormat="1" applyFont="1" applyBorder="1" applyAlignment="1">
      <alignment horizontal="center" vertical="center"/>
    </xf>
    <xf numFmtId="181" fontId="4" fillId="0" borderId="73" xfId="0" applyNumberFormat="1" applyFont="1" applyBorder="1" applyAlignment="1">
      <alignment horizontal="center" vertical="center"/>
    </xf>
    <xf numFmtId="181" fontId="19" fillId="7" borderId="75" xfId="0" applyNumberFormat="1" applyFont="1" applyFill="1" applyBorder="1" applyAlignment="1">
      <alignment horizontal="center" vertical="center"/>
    </xf>
    <xf numFmtId="181" fontId="19" fillId="7" borderId="76" xfId="0" applyNumberFormat="1" applyFont="1" applyFill="1" applyBorder="1" applyAlignment="1">
      <alignment horizontal="center" vertical="center"/>
    </xf>
    <xf numFmtId="0" fontId="4" fillId="5" borderId="10" xfId="0" applyFont="1" applyFill="1" applyBorder="1" applyAlignment="1">
      <alignment horizontal="center" vertical="center"/>
    </xf>
    <xf numFmtId="0" fontId="4" fillId="5" borderId="40" xfId="0" applyFont="1" applyFill="1" applyBorder="1" applyAlignment="1">
      <alignment horizontal="center" vertical="center"/>
    </xf>
    <xf numFmtId="0" fontId="4" fillId="0" borderId="35" xfId="0" applyFont="1" applyFill="1" applyBorder="1" applyAlignment="1">
      <alignment horizontal="center" vertical="center"/>
    </xf>
    <xf numFmtId="0" fontId="4" fillId="0" borderId="38" xfId="0" applyFont="1" applyFill="1" applyBorder="1" applyAlignment="1">
      <alignment horizontal="center" vertical="center"/>
    </xf>
    <xf numFmtId="0" fontId="4" fillId="6" borderId="35" xfId="0" applyFont="1" applyFill="1" applyBorder="1" applyAlignment="1">
      <alignment horizontal="center" vertical="center"/>
    </xf>
    <xf numFmtId="0" fontId="4" fillId="6" borderId="38" xfId="0" applyFont="1" applyFill="1" applyBorder="1" applyAlignment="1">
      <alignment horizontal="center" vertical="center"/>
    </xf>
    <xf numFmtId="0" fontId="15" fillId="9" borderId="21" xfId="0" applyFont="1" applyFill="1" applyBorder="1" applyAlignment="1">
      <alignment horizontal="center" vertical="center"/>
    </xf>
    <xf numFmtId="0" fontId="15" fillId="9" borderId="22" xfId="0" applyFont="1" applyFill="1" applyBorder="1" applyAlignment="1">
      <alignment horizontal="center" vertical="center"/>
    </xf>
    <xf numFmtId="0" fontId="15" fillId="9" borderId="66" xfId="0" applyFont="1" applyFill="1" applyBorder="1" applyAlignment="1">
      <alignment horizontal="center" vertical="center"/>
    </xf>
    <xf numFmtId="0" fontId="4" fillId="7" borderId="69" xfId="0" applyFont="1" applyFill="1" applyBorder="1" applyAlignment="1">
      <alignment horizontal="center" vertical="center"/>
    </xf>
    <xf numFmtId="0" fontId="4" fillId="7" borderId="74" xfId="0" applyFont="1" applyFill="1" applyBorder="1" applyAlignment="1">
      <alignment horizontal="center" vertical="center"/>
    </xf>
    <xf numFmtId="0" fontId="4" fillId="7" borderId="67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4" fillId="4" borderId="39" xfId="0" applyFont="1" applyFill="1" applyBorder="1" applyAlignment="1">
      <alignment horizontal="center" vertical="center"/>
    </xf>
    <xf numFmtId="181" fontId="19" fillId="7" borderId="10" xfId="0" applyNumberFormat="1" applyFont="1" applyFill="1" applyBorder="1" applyAlignment="1">
      <alignment horizontal="center" vertical="center"/>
    </xf>
    <xf numFmtId="181" fontId="19" fillId="7" borderId="40" xfId="0" applyNumberFormat="1" applyFont="1" applyFill="1" applyBorder="1" applyAlignment="1">
      <alignment horizontal="center" vertical="center"/>
    </xf>
    <xf numFmtId="0" fontId="0" fillId="2" borderId="28" xfId="0" applyFill="1" applyBorder="1" applyAlignment="1">
      <alignment horizontal="center" vertical="center"/>
    </xf>
    <xf numFmtId="0" fontId="0" fillId="2" borderId="29" xfId="0" applyFill="1" applyBorder="1" applyAlignment="1">
      <alignment horizontal="center" vertical="center"/>
    </xf>
    <xf numFmtId="0" fontId="4" fillId="4" borderId="35" xfId="0" applyFont="1" applyFill="1" applyBorder="1" applyAlignment="1">
      <alignment horizontal="center" vertical="center"/>
    </xf>
    <xf numFmtId="0" fontId="4" fillId="4" borderId="38" xfId="0" applyFont="1" applyFill="1" applyBorder="1" applyAlignment="1">
      <alignment horizontal="center" vertical="center"/>
    </xf>
    <xf numFmtId="0" fontId="0" fillId="7" borderId="30" xfId="0" applyFill="1" applyBorder="1" applyAlignment="1">
      <alignment horizontal="center" vertical="center"/>
    </xf>
    <xf numFmtId="0" fontId="0" fillId="7" borderId="0" xfId="0" applyFill="1" applyBorder="1" applyAlignment="1">
      <alignment horizontal="center" vertical="center"/>
    </xf>
    <xf numFmtId="181" fontId="4" fillId="0" borderId="9" xfId="0" applyNumberFormat="1" applyFont="1" applyBorder="1" applyAlignment="1">
      <alignment horizontal="center" vertical="center"/>
    </xf>
    <xf numFmtId="181" fontId="4" fillId="0" borderId="78" xfId="0" applyNumberFormat="1" applyFont="1" applyBorder="1" applyAlignment="1">
      <alignment horizontal="center" vertical="center"/>
    </xf>
    <xf numFmtId="181" fontId="4" fillId="0" borderId="39" xfId="0" applyNumberFormat="1" applyFont="1" applyBorder="1" applyAlignment="1">
      <alignment horizontal="center" vertical="center"/>
    </xf>
    <xf numFmtId="181" fontId="19" fillId="7" borderId="9" xfId="0" applyNumberFormat="1" applyFont="1" applyFill="1" applyBorder="1" applyAlignment="1">
      <alignment horizontal="center" vertical="center"/>
    </xf>
    <xf numFmtId="181" fontId="19" fillId="7" borderId="39" xfId="0" applyNumberFormat="1" applyFont="1" applyFill="1" applyBorder="1" applyAlignment="1">
      <alignment horizontal="center" vertical="center"/>
    </xf>
    <xf numFmtId="0" fontId="4" fillId="7" borderId="68" xfId="0" applyFont="1" applyFill="1" applyBorder="1" applyAlignment="1">
      <alignment horizontal="center" vertical="center"/>
    </xf>
    <xf numFmtId="0" fontId="4" fillId="7" borderId="7" xfId="0" applyFont="1" applyFill="1" applyBorder="1" applyAlignment="1">
      <alignment horizontal="center" vertical="center"/>
    </xf>
    <xf numFmtId="0" fontId="4" fillId="7" borderId="8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40" xfId="0" applyFont="1" applyFill="1" applyBorder="1" applyAlignment="1">
      <alignment horizontal="center" vertical="center"/>
    </xf>
    <xf numFmtId="181" fontId="4" fillId="0" borderId="10" xfId="0" applyNumberFormat="1" applyFont="1" applyBorder="1" applyAlignment="1">
      <alignment horizontal="center" vertical="center"/>
    </xf>
    <xf numFmtId="181" fontId="4" fillId="0" borderId="41" xfId="0" applyNumberFormat="1" applyFont="1" applyBorder="1" applyAlignment="1">
      <alignment horizontal="center" vertical="center"/>
    </xf>
    <xf numFmtId="181" fontId="4" fillId="0" borderId="40" xfId="0" applyNumberFormat="1" applyFont="1" applyBorder="1" applyAlignment="1">
      <alignment horizontal="center" vertical="center"/>
    </xf>
    <xf numFmtId="181" fontId="4" fillId="7" borderId="10" xfId="0" applyNumberFormat="1" applyFont="1" applyFill="1" applyBorder="1" applyAlignment="1">
      <alignment horizontal="center" vertical="center"/>
    </xf>
    <xf numFmtId="181" fontId="4" fillId="7" borderId="40" xfId="0" applyNumberFormat="1" applyFont="1" applyFill="1" applyBorder="1" applyAlignment="1">
      <alignment horizontal="center" vertical="center"/>
    </xf>
    <xf numFmtId="0" fontId="4" fillId="7" borderId="49" xfId="0" applyFont="1" applyFill="1" applyBorder="1" applyAlignment="1">
      <alignment horizontal="center" vertical="center"/>
    </xf>
    <xf numFmtId="0" fontId="4" fillId="7" borderId="37" xfId="0" applyFont="1" applyFill="1" applyBorder="1" applyAlignment="1">
      <alignment horizontal="center" vertical="center"/>
    </xf>
    <xf numFmtId="0" fontId="4" fillId="7" borderId="54" xfId="0" applyFont="1" applyFill="1" applyBorder="1" applyAlignment="1">
      <alignment horizontal="center" vertical="center"/>
    </xf>
    <xf numFmtId="181" fontId="4" fillId="0" borderId="36" xfId="0" applyNumberFormat="1" applyFont="1" applyBorder="1" applyAlignment="1">
      <alignment horizontal="center" vertical="center"/>
    </xf>
    <xf numFmtId="181" fontId="4" fillId="0" borderId="37" xfId="0" applyNumberFormat="1" applyFont="1" applyBorder="1" applyAlignment="1">
      <alignment horizontal="center" vertical="center"/>
    </xf>
    <xf numFmtId="181" fontId="4" fillId="0" borderId="51" xfId="0" applyNumberFormat="1" applyFont="1" applyBorder="1" applyAlignment="1">
      <alignment horizontal="center" vertical="center"/>
    </xf>
    <xf numFmtId="0" fontId="4" fillId="7" borderId="2" xfId="0" applyFont="1" applyFill="1" applyBorder="1" applyAlignment="1">
      <alignment horizontal="center" vertical="center"/>
    </xf>
    <xf numFmtId="0" fontId="4" fillId="7" borderId="78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0" fontId="4" fillId="5" borderId="9" xfId="0" applyFont="1" applyFill="1" applyBorder="1" applyAlignment="1">
      <alignment horizontal="center" vertical="center"/>
    </xf>
    <xf numFmtId="0" fontId="4" fillId="5" borderId="39" xfId="0" applyFont="1" applyFill="1" applyBorder="1" applyAlignment="1">
      <alignment horizontal="center" vertical="center"/>
    </xf>
    <xf numFmtId="0" fontId="4" fillId="7" borderId="70" xfId="0" applyFont="1" applyFill="1" applyBorder="1" applyAlignment="1">
      <alignment horizontal="center" vertical="center"/>
    </xf>
    <xf numFmtId="0" fontId="4" fillId="7" borderId="0" xfId="0" applyFont="1" applyFill="1" applyBorder="1" applyAlignment="1">
      <alignment horizontal="center" vertical="center"/>
    </xf>
    <xf numFmtId="0" fontId="4" fillId="7" borderId="71" xfId="0" applyFont="1" applyFill="1" applyBorder="1" applyAlignment="1">
      <alignment horizontal="center" vertical="center"/>
    </xf>
    <xf numFmtId="181" fontId="4" fillId="0" borderId="28" xfId="0" applyNumberFormat="1" applyFont="1" applyBorder="1" applyAlignment="1">
      <alignment horizontal="center" vertical="center"/>
    </xf>
    <xf numFmtId="181" fontId="4" fillId="0" borderId="29" xfId="0" applyNumberFormat="1" applyFont="1" applyBorder="1" applyAlignment="1">
      <alignment horizontal="center" vertical="center"/>
    </xf>
    <xf numFmtId="181" fontId="4" fillId="0" borderId="72" xfId="0" applyNumberFormat="1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51" xfId="0" applyFont="1" applyBorder="1" applyAlignment="1">
      <alignment horizontal="center" vertical="center"/>
    </xf>
    <xf numFmtId="0" fontId="15" fillId="9" borderId="35" xfId="0" applyFont="1" applyFill="1" applyBorder="1" applyAlignment="1">
      <alignment horizontal="center" vertical="center"/>
    </xf>
    <xf numFmtId="0" fontId="15" fillId="9" borderId="23" xfId="0" applyFont="1" applyFill="1" applyBorder="1" applyAlignment="1">
      <alignment horizontal="center" vertical="center"/>
    </xf>
    <xf numFmtId="0" fontId="15" fillId="9" borderId="38" xfId="0" applyFont="1" applyFill="1" applyBorder="1" applyAlignment="1">
      <alignment horizontal="center" vertical="center"/>
    </xf>
    <xf numFmtId="0" fontId="4" fillId="7" borderId="52" xfId="0" applyFont="1" applyFill="1" applyBorder="1" applyAlignment="1">
      <alignment horizontal="center" vertical="center"/>
    </xf>
    <xf numFmtId="0" fontId="4" fillId="2" borderId="35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4" fillId="2" borderId="38" xfId="0" applyFont="1" applyFill="1" applyBorder="1" applyAlignment="1">
      <alignment horizontal="center" vertical="center"/>
    </xf>
    <xf numFmtId="181" fontId="19" fillId="2" borderId="35" xfId="0" applyNumberFormat="1" applyFont="1" applyFill="1" applyBorder="1" applyAlignment="1">
      <alignment horizontal="center" vertical="center"/>
    </xf>
    <xf numFmtId="181" fontId="19" fillId="2" borderId="38" xfId="0" applyNumberFormat="1" applyFont="1" applyFill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4" fillId="2" borderId="33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4" fillId="2" borderId="44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0" fillId="0" borderId="22" xfId="0" applyBorder="1">
      <alignment vertical="center"/>
    </xf>
    <xf numFmtId="0" fontId="0" fillId="0" borderId="66" xfId="0" applyBorder="1">
      <alignment vertical="center"/>
    </xf>
    <xf numFmtId="0" fontId="2" fillId="0" borderId="28" xfId="0" applyFont="1" applyBorder="1" applyAlignment="1" applyProtection="1">
      <alignment horizontal="center" vertical="center"/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0" fontId="4" fillId="2" borderId="26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/>
    </xf>
    <xf numFmtId="0" fontId="4" fillId="7" borderId="9" xfId="0" applyFont="1" applyFill="1" applyBorder="1" applyAlignment="1">
      <alignment horizontal="center" vertical="center"/>
    </xf>
    <xf numFmtId="0" fontId="4" fillId="7" borderId="39" xfId="0" applyFont="1" applyFill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73" xfId="0" applyBorder="1" applyAlignment="1">
      <alignment horizontal="center" vertical="center"/>
    </xf>
    <xf numFmtId="0" fontId="0" fillId="0" borderId="72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181" fontId="4" fillId="7" borderId="9" xfId="0" applyNumberFormat="1" applyFont="1" applyFill="1" applyBorder="1" applyAlignment="1">
      <alignment horizontal="center" vertical="center"/>
    </xf>
    <xf numFmtId="181" fontId="4" fillId="7" borderId="39" xfId="0" applyNumberFormat="1" applyFont="1" applyFill="1" applyBorder="1" applyAlignment="1">
      <alignment horizontal="center" vertical="center"/>
    </xf>
    <xf numFmtId="0" fontId="27" fillId="6" borderId="28" xfId="0" applyFont="1" applyFill="1" applyBorder="1" applyAlignment="1">
      <alignment horizontal="center" vertical="center" wrapText="1"/>
    </xf>
    <xf numFmtId="0" fontId="27" fillId="6" borderId="29" xfId="0" applyFont="1" applyFill="1" applyBorder="1" applyAlignment="1">
      <alignment horizontal="center" vertical="center" wrapText="1"/>
    </xf>
    <xf numFmtId="0" fontId="27" fillId="6" borderId="72" xfId="0" applyFont="1" applyFill="1" applyBorder="1" applyAlignment="1">
      <alignment horizontal="center" vertical="center" wrapText="1"/>
    </xf>
    <xf numFmtId="0" fontId="27" fillId="6" borderId="30" xfId="0" applyFont="1" applyFill="1" applyBorder="1" applyAlignment="1">
      <alignment horizontal="center" vertical="center" wrapText="1"/>
    </xf>
    <xf numFmtId="0" fontId="27" fillId="6" borderId="0" xfId="0" applyFont="1" applyFill="1" applyBorder="1" applyAlignment="1">
      <alignment horizontal="center" vertical="center" wrapText="1"/>
    </xf>
    <xf numFmtId="0" fontId="27" fillId="6" borderId="31" xfId="0" applyFont="1" applyFill="1" applyBorder="1" applyAlignment="1">
      <alignment horizontal="center" vertical="center" wrapText="1"/>
    </xf>
    <xf numFmtId="0" fontId="27" fillId="6" borderId="17" xfId="0" applyFont="1" applyFill="1" applyBorder="1" applyAlignment="1">
      <alignment horizontal="center" vertical="center" wrapText="1"/>
    </xf>
    <xf numFmtId="0" fontId="27" fillId="6" borderId="73" xfId="0" applyFont="1" applyFill="1" applyBorder="1" applyAlignment="1">
      <alignment horizontal="center" vertical="center" wrapText="1"/>
    </xf>
    <xf numFmtId="0" fontId="0" fillId="0" borderId="30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6" fillId="0" borderId="21" xfId="0" applyFont="1" applyFill="1" applyBorder="1" applyAlignment="1">
      <alignment horizontal="center" vertical="center" wrapText="1"/>
    </xf>
    <xf numFmtId="0" fontId="6" fillId="0" borderId="66" xfId="0" applyFont="1" applyFill="1" applyBorder="1" applyAlignment="1">
      <alignment horizontal="center" vertical="center" wrapText="1"/>
    </xf>
    <xf numFmtId="0" fontId="21" fillId="8" borderId="54" xfId="0" applyFont="1" applyFill="1" applyBorder="1" applyAlignment="1">
      <alignment horizontal="center" vertical="center"/>
    </xf>
    <xf numFmtId="0" fontId="21" fillId="8" borderId="67" xfId="0" applyFont="1" applyFill="1" applyBorder="1" applyAlignment="1">
      <alignment horizontal="center" vertical="center"/>
    </xf>
    <xf numFmtId="0" fontId="21" fillId="12" borderId="54" xfId="0" applyFont="1" applyFill="1" applyBorder="1" applyAlignment="1">
      <alignment horizontal="center" vertical="center"/>
    </xf>
    <xf numFmtId="0" fontId="21" fillId="12" borderId="67" xfId="0" applyFont="1" applyFill="1" applyBorder="1" applyAlignment="1">
      <alignment horizontal="center" vertical="center"/>
    </xf>
    <xf numFmtId="0" fontId="16" fillId="3" borderId="43" xfId="0" applyFont="1" applyFill="1" applyBorder="1" applyAlignment="1">
      <alignment horizontal="center" vertical="center"/>
    </xf>
    <xf numFmtId="0" fontId="21" fillId="10" borderId="54" xfId="0" applyFont="1" applyFill="1" applyBorder="1" applyAlignment="1">
      <alignment horizontal="center" vertical="center"/>
    </xf>
    <xf numFmtId="0" fontId="21" fillId="10" borderId="67" xfId="0" applyFont="1" applyFill="1" applyBorder="1" applyAlignment="1">
      <alignment horizontal="center" vertical="center"/>
    </xf>
    <xf numFmtId="0" fontId="21" fillId="4" borderId="54" xfId="0" applyFont="1" applyFill="1" applyBorder="1" applyAlignment="1">
      <alignment horizontal="center" vertical="center"/>
    </xf>
    <xf numFmtId="0" fontId="21" fillId="4" borderId="67" xfId="0" applyFont="1" applyFill="1" applyBorder="1" applyAlignment="1">
      <alignment horizontal="center" vertical="center"/>
    </xf>
    <xf numFmtId="0" fontId="16" fillId="4" borderId="21" xfId="0" applyFont="1" applyFill="1" applyBorder="1" applyAlignment="1">
      <alignment horizontal="center" vertical="center"/>
    </xf>
    <xf numFmtId="0" fontId="16" fillId="4" borderId="66" xfId="0" applyFont="1" applyFill="1" applyBorder="1" applyAlignment="1">
      <alignment horizontal="center" vertical="center"/>
    </xf>
    <xf numFmtId="0" fontId="16" fillId="11" borderId="28" xfId="0" applyFont="1" applyFill="1" applyBorder="1" applyAlignment="1">
      <alignment horizontal="center" vertical="center"/>
    </xf>
    <xf numFmtId="0" fontId="16" fillId="11" borderId="72" xfId="0" applyFont="1" applyFill="1" applyBorder="1" applyAlignment="1">
      <alignment horizontal="center" vertical="center"/>
    </xf>
    <xf numFmtId="0" fontId="16" fillId="11" borderId="21" xfId="0" applyFont="1" applyFill="1" applyBorder="1" applyAlignment="1">
      <alignment horizontal="center" vertical="center"/>
    </xf>
    <xf numFmtId="0" fontId="16" fillId="11" borderId="66" xfId="0" applyFont="1" applyFill="1" applyBorder="1" applyAlignment="1">
      <alignment horizontal="center" vertical="center"/>
    </xf>
    <xf numFmtId="179" fontId="0" fillId="0" borderId="30" xfId="0" applyNumberFormat="1" applyBorder="1" applyAlignment="1">
      <alignment horizontal="center" vertical="center"/>
    </xf>
    <xf numFmtId="179" fontId="0" fillId="0" borderId="0" xfId="0" applyNumberFormat="1" applyBorder="1" applyAlignment="1">
      <alignment horizontal="center" vertical="center"/>
    </xf>
    <xf numFmtId="179" fontId="0" fillId="0" borderId="28" xfId="0" applyNumberFormat="1" applyBorder="1" applyAlignment="1">
      <alignment horizontal="center" vertical="center"/>
    </xf>
    <xf numFmtId="179" fontId="0" fillId="0" borderId="29" xfId="0" applyNumberFormat="1" applyBorder="1" applyAlignment="1">
      <alignment horizontal="center" vertical="center"/>
    </xf>
    <xf numFmtId="179" fontId="0" fillId="0" borderId="72" xfId="0" applyNumberFormat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7" borderId="33" xfId="0" applyFill="1" applyBorder="1" applyAlignment="1">
      <alignment horizontal="center" vertical="center"/>
    </xf>
    <xf numFmtId="0" fontId="0" fillId="7" borderId="43" xfId="0" applyFill="1" applyBorder="1" applyAlignment="1">
      <alignment horizontal="center" vertical="center"/>
    </xf>
    <xf numFmtId="0" fontId="0" fillId="7" borderId="44" xfId="0" applyFill="1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0" fillId="0" borderId="65" xfId="0" applyBorder="1" applyAlignment="1">
      <alignment horizontal="center" vertical="center"/>
    </xf>
  </cellXfs>
  <cellStyles count="5">
    <cellStyle name="표준" xfId="0" builtinId="0"/>
    <cellStyle name="표준 2" xfId="2"/>
    <cellStyle name="표준 3" xfId="3"/>
    <cellStyle name="표준 4" xfId="4"/>
    <cellStyle name="표준_Sheet1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X187"/>
  <sheetViews>
    <sheetView tabSelected="1" workbookViewId="0">
      <pane xSplit="1" ySplit="6" topLeftCell="B7" activePane="bottomRight" state="frozen"/>
      <selection pane="topRight" activeCell="B1" sqref="B1"/>
      <selection pane="bottomLeft" activeCell="A6" sqref="A6"/>
      <selection pane="bottomRight" activeCell="G15" sqref="G15:I15"/>
    </sheetView>
  </sheetViews>
  <sheetFormatPr defaultRowHeight="13.5"/>
  <cols>
    <col min="1" max="1" width="1.7109375" style="3" customWidth="1"/>
    <col min="2" max="2" width="8.140625" style="3" customWidth="1"/>
    <col min="3" max="3" width="8.140625" style="5" customWidth="1"/>
    <col min="4" max="6" width="11.85546875" style="3" customWidth="1"/>
    <col min="7" max="11" width="6.7109375" style="3" customWidth="1"/>
    <col min="12" max="12" width="1.7109375" style="3" customWidth="1"/>
    <col min="13" max="41" width="9.140625" style="3" hidden="1" customWidth="1"/>
    <col min="42" max="42" width="9.140625" style="3" customWidth="1"/>
    <col min="43" max="16384" width="9.140625" style="3"/>
  </cols>
  <sheetData>
    <row r="1" spans="1:50" ht="29.25" customHeight="1" thickBot="1">
      <c r="A1" s="1588"/>
      <c r="B1" s="1558" t="s">
        <v>127</v>
      </c>
      <c r="C1" s="1558"/>
      <c r="D1" s="1558"/>
      <c r="E1" s="1558"/>
      <c r="F1" s="1558"/>
      <c r="G1" s="1558"/>
      <c r="H1" s="1558"/>
      <c r="I1" s="1558"/>
      <c r="J1" s="1558"/>
      <c r="K1" s="1558"/>
      <c r="L1" s="1586"/>
      <c r="M1" s="152"/>
      <c r="N1" s="152"/>
      <c r="O1" s="152"/>
      <c r="P1" s="152"/>
      <c r="Q1" s="152"/>
      <c r="R1" s="152"/>
      <c r="S1" s="152"/>
      <c r="AP1" s="166" t="s">
        <v>124</v>
      </c>
      <c r="AQ1" s="166" t="s">
        <v>125</v>
      </c>
      <c r="AR1" s="166" t="s">
        <v>126</v>
      </c>
    </row>
    <row r="2" spans="1:50" ht="18" customHeight="1" thickBot="1">
      <c r="A2" s="1589"/>
      <c r="B2" s="1564" t="s">
        <v>0</v>
      </c>
      <c r="C2" s="1577" t="s">
        <v>24</v>
      </c>
      <c r="D2" s="1566" t="s">
        <v>1</v>
      </c>
      <c r="E2" s="1568" t="s">
        <v>2</v>
      </c>
      <c r="F2" s="1570" t="s">
        <v>3</v>
      </c>
      <c r="G2" s="1572" t="s">
        <v>4</v>
      </c>
      <c r="H2" s="1560"/>
      <c r="I2" s="1560"/>
      <c r="J2" s="1560"/>
      <c r="K2" s="4" t="s">
        <v>20</v>
      </c>
      <c r="L2" s="1587"/>
      <c r="M2" s="152"/>
      <c r="N2" s="152"/>
      <c r="O2" s="152"/>
      <c r="P2" s="152"/>
      <c r="Q2" s="152"/>
      <c r="R2" s="152"/>
      <c r="S2" s="152"/>
      <c r="AP2" s="616">
        <v>140</v>
      </c>
      <c r="AQ2" s="616">
        <v>147</v>
      </c>
      <c r="AR2" s="616">
        <v>142</v>
      </c>
    </row>
    <row r="3" spans="1:50" ht="18" customHeight="1" thickBot="1">
      <c r="A3" s="1589"/>
      <c r="B3" s="1565"/>
      <c r="C3" s="1578"/>
      <c r="D3" s="1567"/>
      <c r="E3" s="1569"/>
      <c r="F3" s="1571"/>
      <c r="G3" s="1407" t="s">
        <v>102</v>
      </c>
      <c r="H3" s="1407" t="s">
        <v>103</v>
      </c>
      <c r="I3" s="1407" t="s">
        <v>104</v>
      </c>
      <c r="J3" s="1407" t="s">
        <v>110</v>
      </c>
      <c r="K3" s="1408" t="s">
        <v>117</v>
      </c>
      <c r="L3" s="1587"/>
      <c r="M3" s="152"/>
      <c r="N3" s="152"/>
      <c r="O3" s="152"/>
      <c r="P3" s="152"/>
      <c r="Q3" s="152"/>
      <c r="R3" s="152"/>
      <c r="S3" s="152"/>
      <c r="AR3" s="1593" t="s">
        <v>851</v>
      </c>
      <c r="AS3" s="1594"/>
      <c r="AT3" s="1594"/>
      <c r="AU3" s="1594"/>
      <c r="AV3" s="1595"/>
    </row>
    <row r="4" spans="1:50" ht="26.25" customHeight="1" thickBot="1">
      <c r="A4" s="1589"/>
      <c r="B4" s="1575"/>
      <c r="C4" s="8" t="s">
        <v>22</v>
      </c>
      <c r="D4" s="1387">
        <v>125</v>
      </c>
      <c r="E4" s="1388">
        <v>139</v>
      </c>
      <c r="F4" s="1389">
        <v>115</v>
      </c>
      <c r="G4" s="1390">
        <v>68</v>
      </c>
      <c r="H4" s="1390">
        <v>66</v>
      </c>
      <c r="I4" s="1390">
        <v>62</v>
      </c>
      <c r="J4" s="1391">
        <v>55</v>
      </c>
      <c r="K4" s="1392">
        <v>43</v>
      </c>
      <c r="L4" s="1587"/>
      <c r="M4" s="150"/>
      <c r="N4" s="150"/>
      <c r="O4" s="150"/>
      <c r="P4" s="150"/>
      <c r="Q4" s="150"/>
      <c r="R4" s="150"/>
      <c r="S4" s="150"/>
      <c r="AP4" s="1509" t="s">
        <v>783</v>
      </c>
      <c r="AQ4" s="1510"/>
      <c r="AR4" s="1596"/>
      <c r="AS4" s="1597"/>
      <c r="AT4" s="1597"/>
      <c r="AU4" s="1597"/>
      <c r="AV4" s="1598"/>
      <c r="AW4"/>
      <c r="AX4"/>
    </row>
    <row r="5" spans="1:50" s="5" customFormat="1" ht="26.25" customHeight="1" thickBot="1">
      <c r="A5" s="1589"/>
      <c r="B5" s="1576"/>
      <c r="C5" s="9" t="s">
        <v>23</v>
      </c>
      <c r="D5" s="1393">
        <v>92</v>
      </c>
      <c r="E5" s="1394">
        <v>96</v>
      </c>
      <c r="F5" s="1395">
        <v>73</v>
      </c>
      <c r="G5" s="1393">
        <v>98</v>
      </c>
      <c r="H5" s="1394">
        <v>97</v>
      </c>
      <c r="I5" s="1396">
        <v>88</v>
      </c>
      <c r="J5" s="1397">
        <v>63</v>
      </c>
      <c r="K5" s="1398">
        <v>17</v>
      </c>
      <c r="L5" s="1587"/>
      <c r="M5" s="150"/>
      <c r="N5" s="150"/>
      <c r="O5" s="150"/>
      <c r="P5" s="150"/>
      <c r="Q5" s="150"/>
      <c r="R5" s="150"/>
      <c r="S5" s="150"/>
      <c r="AP5" s="1513" t="s">
        <v>761</v>
      </c>
      <c r="AQ5" s="1514"/>
      <c r="AR5" s="1596"/>
      <c r="AS5" s="1597"/>
      <c r="AT5" s="1597"/>
      <c r="AU5" s="1597"/>
      <c r="AV5" s="1598"/>
      <c r="AW5"/>
      <c r="AX5"/>
    </row>
    <row r="6" spans="1:50" s="2" customFormat="1" ht="26.25" customHeight="1" thickBot="1">
      <c r="A6" s="1589"/>
      <c r="B6" s="1559" t="s">
        <v>5</v>
      </c>
      <c r="C6" s="1560"/>
      <c r="D6" s="1561"/>
      <c r="E6" s="1562" t="s">
        <v>6</v>
      </c>
      <c r="F6" s="1563"/>
      <c r="G6" s="1572" t="s">
        <v>403</v>
      </c>
      <c r="H6" s="1573"/>
      <c r="I6" s="1574"/>
      <c r="J6" s="1572" t="s">
        <v>402</v>
      </c>
      <c r="K6" s="1574"/>
      <c r="L6" s="1587"/>
      <c r="M6" s="151"/>
      <c r="N6" s="151"/>
      <c r="O6" s="151"/>
      <c r="P6" s="151"/>
      <c r="Q6" s="151"/>
      <c r="R6" s="151"/>
      <c r="S6" s="151"/>
      <c r="AP6" s="1601"/>
      <c r="AQ6" s="1602"/>
      <c r="AR6" s="1596"/>
      <c r="AS6" s="1597"/>
      <c r="AT6" s="1599"/>
      <c r="AU6" s="1599"/>
      <c r="AV6" s="1600"/>
      <c r="AW6"/>
      <c r="AX6"/>
    </row>
    <row r="7" spans="1:50" s="167" customFormat="1" ht="20.100000000000001" customHeight="1" thickBot="1">
      <c r="A7" s="1589"/>
      <c r="B7" s="1579" t="s">
        <v>89</v>
      </c>
      <c r="C7" s="1537"/>
      <c r="D7" s="1580"/>
      <c r="E7" s="1581" t="str">
        <f t="shared" ref="E7:E14" si="0">IF(OR(B7="단국대4",B7="건국대1",B7="동국대1",B7="중앙대3"),"나군전체",IF(OR(B7="한양대1"),"가군우선,나군전체",IF(OR(B7="성균관대1"),"가군우선,나군우선",IF(OR(B7="숭실대2",B7="서강대2"),"경영",IF(OR(B7="이화여대2",B7="세종대1",B7="명지대1"),"인문과학",IF(B7="이화여대3","간호,식품,보건",IF(B7="중앙대2","가군공공인재",IF(B7="중앙대4","나군공공인재",IF(B7="경희대2","국문,사학,철학,영어",IF(B7="경희대3","지리,식품,간호",IF(B7="동국대4","가군컴퓨터공,가정교육",IF(B7="동국대2","나군컴퓨터공,가정교육",IF(B7="홍익대2","가군자유전공",IF(OR(B7="건국대",B7="홍익대3",B7="국민대3",B7="단국대1"),"다군전체",IF(B7="홍익대4","다군자유전공",IF(B7="숙명여대2","가)경영",IF(B7="숙명여대3","나,다)인문,의류,식품등",IF(B7="숙명여대4","나)경영",IF(B7="숙명여대1","가)인문,의류,식품등",IF(OR(B7="한양대",B7="국민대1",B7="홍익대1",B7="서울여대1",B7="동국대3",B7="중앙대1"),"가군전체",IF(B7="국민대2","가군건축",IF(B7="국민대4","다군건축",IF(B7="숭실대3","자연,공대,IT일부",IF(B7="세종대2","인문제외문과",IF(OR(B7="세종대3",B7="명지대2",B7="서경대4",B7="덕성여대2"),"자연",IF(B7="단국대2","다군상경",IF(B7="단국대3","다군정보통계,건축",IF(B7="단국대5","나군상경",IF(B7="단국대6","나군정보통계,건축",IF(B7="아주대1","가)경영계,e비즈,자연2",IF(B7="아주대2","가)인문,사과,자전",IF(B7="아주대3","가우선,다)경영계,e비즈,자연2",IF(B7="아주대4","가우선,다)인문,사과,자전",IF(B7="서경대2","군사",IF(B7="서경대3","글로벌경영",IF(B7="한성대1","가군인문계열",IF(B7="한성대2","가군경영사과",IF(B7="한성대3","가군자연",IF(B7="한성대4","다군인문계열",IF(B7="한성대5","다군경영사과",IF(B7="한성대6","다군자연",IF(B7="삼육대1","신학,유아",IF(B7="삼육대2","경영,사회복지,상담",IF(B7="삼육대3","가군영미어문",IF(B7="삼육대4","중어,일어",IF(B7="삼육대5","가군이과전체",IF(B7="삼육대6","다군영미어문",IF(B7="삼육대7","다군이과전체",IF(B7="광운대1","법학계",IF(B7="광운대2","경영계",IF(B7="광운대3","국문",IF(B7="광운대4","영어,동북,국제,행정,미디",IF(B7="광운대5","건축,공대전체",IF(B7="상명대2","의류,외식,소비자주거",IF(B7="가톨릭2","디지털미디어",IF(B7="가톨릭3","간호",IF(B7="가톨릭4","전체 가군우선,다군",IF(B7="가톨릭5","미디어 가군우선,다군",IF(B7="가톨릭6","간호 가군우선,나군",IF(B7="성신여대2","경제,자연",IF(B7="성신여대3","간호",IF(B7="동덕여대","인문,자연전체",IF(B7="서울여대2","다-인문계열전체",IF(B7="서울여대3","다-경상계,자연일부",IF(B7="경원대2","간호포함자연","전체")))))))))))))))))))))))))))))))))))))))))))))))))))))))))))))))))</f>
        <v>전체</v>
      </c>
      <c r="F7" s="1582"/>
      <c r="G7" s="1515">
        <f>VLOOKUP($B7,계산도구!$A$2:$G$529,4,FALSE)+VLOOKUP($B7,계산도구!$A$2:$G$529,5,FALSE)+VLOOKUP($B7,계산도구!$A$2:$G$529,6,FALSE)+VLOOKUP($B7,계산도구!$A$2:$G$529,7,FALSE)</f>
        <v>561.02499999999998</v>
      </c>
      <c r="H7" s="1516"/>
      <c r="I7" s="1517"/>
      <c r="J7" s="1518" t="str">
        <f t="shared" ref="J7:J12" si="1">IF(OR(B7="덕성여대1",B7="덕성여대2",B7="가톨릭대1",B7="가톨릭대2",B7="가톨릭대3"),G7*10/7,IF(OR(B7="상명대1",B7="상명대2"),G7*10/9,IF(OR(B7="한양대1",B7="중앙대3",B7="중앙대4",B7="건국대1",B7="동국대3",B7="동국대4",B7="홍익대3",B7="홍익대4",B7="숙명여대3",B7="숙명여대4",B7="국민대3",B7="국민대4",B7="단국대4",B7="단국대5",B7="단국대6",B7="아주대3",B7="아주대4",B7="한성대4",B7="한성대5",B7="한성대6",B7="가톨릭4",B7="가톨릭5",B7="가톨릭6",B7="성신여대4",B7="성신여대5",B7="성신여대6",B7="서울여대2",B7="서울여대3",B7="경원대1",B7="경원대2",B7="성균관대1"),"수능100%","+학생부")))</f>
        <v>+학생부</v>
      </c>
      <c r="K7" s="1519"/>
      <c r="L7" s="1587"/>
      <c r="AP7" s="1463" t="s">
        <v>786</v>
      </c>
      <c r="AQ7" s="1464"/>
      <c r="AR7" s="1464" t="s">
        <v>797</v>
      </c>
      <c r="AS7" s="1465"/>
    </row>
    <row r="8" spans="1:50" ht="20.100000000000001" customHeight="1">
      <c r="A8" s="1589"/>
      <c r="B8" s="1466" t="s">
        <v>9</v>
      </c>
      <c r="C8" s="1467"/>
      <c r="D8" s="1468"/>
      <c r="E8" s="1469" t="str">
        <f t="shared" si="0"/>
        <v>전체</v>
      </c>
      <c r="F8" s="1470"/>
      <c r="G8" s="1471">
        <f>VLOOKUP($B8,계산도구!$A$2:$G$529,4,FALSE)+VLOOKUP($B8,계산도구!$A$2:$G$529,5,FALSE)+VLOOKUP($B8,계산도구!$A$2:$G$529,6,FALSE)+VLOOKUP($B8,계산도구!$A$2:$G$529,7,FALSE)</f>
        <v>319.68571428571425</v>
      </c>
      <c r="H8" s="1472"/>
      <c r="I8" s="1473"/>
      <c r="J8" s="1474" t="str">
        <f t="shared" si="1"/>
        <v>+학생부</v>
      </c>
      <c r="K8" s="1475"/>
      <c r="L8" s="1587"/>
      <c r="M8" s="152"/>
      <c r="N8" s="152"/>
      <c r="O8" s="152"/>
      <c r="P8" s="150"/>
      <c r="Q8" s="150"/>
      <c r="R8" s="150"/>
      <c r="S8" s="119"/>
      <c r="AP8" s="1402" t="s">
        <v>787</v>
      </c>
      <c r="AQ8" s="1409" t="s">
        <v>100</v>
      </c>
      <c r="AR8" s="1401" t="s">
        <v>798</v>
      </c>
      <c r="AS8" s="1411" t="s">
        <v>111</v>
      </c>
    </row>
    <row r="9" spans="1:50" ht="20.100000000000001" customHeight="1">
      <c r="A9" s="1589"/>
      <c r="B9" s="1466" t="s">
        <v>10</v>
      </c>
      <c r="C9" s="1467"/>
      <c r="D9" s="1468"/>
      <c r="E9" s="1469" t="str">
        <f t="shared" si="0"/>
        <v>전체</v>
      </c>
      <c r="F9" s="1470"/>
      <c r="G9" s="1471">
        <f>VLOOKUP($B9,계산도구!$A$2:$G$529,4,FALSE)+VLOOKUP($B9,계산도구!$A$2:$G$529,5,FALSE)+VLOOKUP($B9,계산도구!$A$2:$G$529,6,FALSE)+VLOOKUP($B9,계산도구!$A$2:$G$529,7,FALSE)</f>
        <v>446.72671353251326</v>
      </c>
      <c r="H9" s="1472"/>
      <c r="I9" s="1473"/>
      <c r="J9" s="1474" t="str">
        <f t="shared" si="1"/>
        <v>+학생부</v>
      </c>
      <c r="K9" s="1475"/>
      <c r="L9" s="1587"/>
      <c r="M9" s="153"/>
      <c r="N9" s="153"/>
      <c r="O9" s="153"/>
      <c r="P9" s="150"/>
      <c r="Q9" s="150"/>
      <c r="R9" s="150"/>
      <c r="S9" s="120"/>
      <c r="AP9" s="1402" t="s">
        <v>788</v>
      </c>
      <c r="AQ9" s="1409" t="s">
        <v>101</v>
      </c>
      <c r="AR9" s="1401" t="s">
        <v>799</v>
      </c>
      <c r="AS9" s="1411" t="s">
        <v>112</v>
      </c>
    </row>
    <row r="10" spans="1:50" ht="20.100000000000001" customHeight="1">
      <c r="A10" s="1589"/>
      <c r="B10" s="1466" t="s">
        <v>16</v>
      </c>
      <c r="C10" s="1467"/>
      <c r="D10" s="1468"/>
      <c r="E10" s="1469" t="str">
        <f t="shared" si="0"/>
        <v>전체</v>
      </c>
      <c r="F10" s="1470"/>
      <c r="G10" s="1471">
        <f>VLOOKUP($B10,계산도구!$A$2:$G$529,4,FALSE)+VLOOKUP($B10,계산도구!$A$2:$G$529,5,FALSE)+VLOOKUP($B10,계산도구!$A$2:$G$529,6,FALSE)+VLOOKUP($B10,계산도구!$A$2:$G$529,7,FALSE)</f>
        <v>511.63199999999995</v>
      </c>
      <c r="H10" s="1472"/>
      <c r="I10" s="1473"/>
      <c r="J10" s="1474" t="str">
        <f t="shared" si="1"/>
        <v>+학생부</v>
      </c>
      <c r="K10" s="1475"/>
      <c r="L10" s="1587"/>
      <c r="M10" s="152"/>
      <c r="N10" s="152"/>
      <c r="O10" s="152"/>
      <c r="P10" s="150"/>
      <c r="Q10" s="150"/>
      <c r="R10" s="150"/>
      <c r="S10" s="120"/>
      <c r="AP10" s="1402" t="s">
        <v>789</v>
      </c>
      <c r="AQ10" s="1409" t="s">
        <v>102</v>
      </c>
      <c r="AR10" s="1401" t="s">
        <v>800</v>
      </c>
      <c r="AS10" s="1411" t="s">
        <v>113</v>
      </c>
    </row>
    <row r="11" spans="1:50" ht="20.100000000000001" customHeight="1">
      <c r="A11" s="1589"/>
      <c r="B11" s="1466" t="s">
        <v>11</v>
      </c>
      <c r="C11" s="1467"/>
      <c r="D11" s="1468"/>
      <c r="E11" s="1469" t="str">
        <f t="shared" si="0"/>
        <v>경영</v>
      </c>
      <c r="F11" s="1470"/>
      <c r="G11" s="1471">
        <f>VLOOKUP($B11,계산도구!$A$2:$G$529,4,FALSE)+VLOOKUP($B11,계산도구!$A$2:$G$529,5,FALSE)+VLOOKUP($B11,계산도구!$A$2:$G$529,6,FALSE)+VLOOKUP($B11,계산도구!$A$2:$G$529,7,FALSE)</f>
        <v>513.03199999999993</v>
      </c>
      <c r="H11" s="1472"/>
      <c r="I11" s="1473"/>
      <c r="J11" s="1474" t="str">
        <f t="shared" si="1"/>
        <v>+학생부</v>
      </c>
      <c r="K11" s="1475"/>
      <c r="L11" s="1587"/>
      <c r="M11" s="150"/>
      <c r="N11" s="150"/>
      <c r="O11" s="150"/>
      <c r="P11" s="150"/>
      <c r="Q11" s="150"/>
      <c r="R11" s="150"/>
      <c r="S11" s="120"/>
      <c r="AP11" s="1402" t="s">
        <v>790</v>
      </c>
      <c r="AQ11" s="1409" t="s">
        <v>103</v>
      </c>
      <c r="AR11" s="1401" t="s">
        <v>801</v>
      </c>
      <c r="AS11" s="1411" t="s">
        <v>114</v>
      </c>
    </row>
    <row r="12" spans="1:50" ht="20.100000000000001" customHeight="1">
      <c r="A12" s="1589"/>
      <c r="B12" s="1466" t="s">
        <v>284</v>
      </c>
      <c r="C12" s="1467"/>
      <c r="D12" s="1468"/>
      <c r="E12" s="1469" t="str">
        <f t="shared" si="0"/>
        <v>전체</v>
      </c>
      <c r="F12" s="1470"/>
      <c r="G12" s="1471">
        <f>VLOOKUP($B12,계산도구!$A$2:$G$529,4,FALSE)+VLOOKUP($B12,계산도구!$A$2:$G$529,5,FALSE)+VLOOKUP($B12,계산도구!$A$2:$G$529,6,FALSE)+VLOOKUP($B12,계산도구!$A$2:$G$529,7,FALSE)</f>
        <v>445.81599999999997</v>
      </c>
      <c r="H12" s="1472"/>
      <c r="I12" s="1473"/>
      <c r="J12" s="1474" t="str">
        <f t="shared" si="1"/>
        <v>+학생부</v>
      </c>
      <c r="K12" s="1475"/>
      <c r="L12" s="1587"/>
      <c r="M12" s="150"/>
      <c r="N12" s="150"/>
      <c r="O12" s="150"/>
      <c r="P12" s="150"/>
      <c r="Q12" s="150"/>
      <c r="R12" s="150"/>
      <c r="S12" s="120"/>
      <c r="AP12" s="1402" t="s">
        <v>791</v>
      </c>
      <c r="AQ12" s="1409" t="s">
        <v>104</v>
      </c>
      <c r="AR12" s="1401" t="s">
        <v>802</v>
      </c>
      <c r="AS12" s="1411" t="s">
        <v>115</v>
      </c>
    </row>
    <row r="13" spans="1:50" s="198" customFormat="1" ht="20.100000000000001" customHeight="1">
      <c r="A13" s="1589"/>
      <c r="B13" s="1466" t="s">
        <v>784</v>
      </c>
      <c r="C13" s="1467"/>
      <c r="D13" s="1468"/>
      <c r="E13" s="1469" t="str">
        <f t="shared" si="0"/>
        <v>가군우선,나군우선</v>
      </c>
      <c r="F13" s="1470"/>
      <c r="G13" s="1471">
        <f>G12*10/7</f>
        <v>636.88</v>
      </c>
      <c r="H13" s="1472"/>
      <c r="I13" s="1473"/>
      <c r="J13" s="1474" t="str">
        <f>IF(OR(B13="덕성여대1",B13="덕성여대2",B13="가톨릭대1",B13="가톨릭대2",B13="가톨릭대3"),G13*10/7,IF(OR(B13="상명대1",B13="상명대2"),G13*10/9,IF(OR(B13="한양대1",B13="중앙대3",B13="중앙대4",B13="건국대1",B13="동국대3",B13="동국대4",B13="홍익대3",B13="홍익대4",B13="숙명여대3",B13="숙명여대4",B13="국민대3",B13="국민대4",B13="단국대4",B13="단국대5",B13="단국대6",B13="아주대3",B13="아주대4",B13="한성대4",B13="한성대5",B13="한성대6",B13="가톨릭4",B13="가톨릭5",B13="가톨릭6",B13="성신여대4",B13="성신여대5",B13="성신여대6",B13="서울여대2",B13="서울여대3",B13="경원대1",B13="경원대2",B13="성균관대1"),"수능100%","+학생부")))</f>
        <v>수능100%</v>
      </c>
      <c r="K13" s="1475"/>
      <c r="L13" s="1587"/>
      <c r="S13" s="120"/>
      <c r="AP13" s="1402" t="s">
        <v>792</v>
      </c>
      <c r="AQ13" s="1409" t="s">
        <v>105</v>
      </c>
      <c r="AR13" s="1401" t="s">
        <v>803</v>
      </c>
      <c r="AS13" s="1411" t="s">
        <v>116</v>
      </c>
    </row>
    <row r="14" spans="1:50" ht="20.100000000000001" customHeight="1">
      <c r="A14" s="1589"/>
      <c r="B14" s="1466" t="s">
        <v>287</v>
      </c>
      <c r="C14" s="1467"/>
      <c r="D14" s="1468"/>
      <c r="E14" s="1469" t="str">
        <f t="shared" si="0"/>
        <v>가군전체</v>
      </c>
      <c r="F14" s="1470"/>
      <c r="G14" s="1471">
        <f>VLOOKUP($B14,계산도구!$A$2:$G$529,4,FALSE)+VLOOKUP($B14,계산도구!$A$2:$G$529,5,FALSE)+VLOOKUP($B14,계산도구!$A$2:$G$529,6,FALSE)+VLOOKUP($B14,계산도구!$A$2:$G$529,7,FALSE)</f>
        <v>625.02379555108428</v>
      </c>
      <c r="H14" s="1472"/>
      <c r="I14" s="1473"/>
      <c r="J14" s="1474" t="str">
        <f t="shared" ref="J14:J77" si="2">IF(OR(B14="덕성여대1",B14="덕성여대2",B14="가톨릭대1",B14="가톨릭대2",B14="가톨릭대3"),G14*10/7,IF(OR(B14="상명대1",B14="상명대2"),G14*10/9,IF(OR(B14="한양대1",B14="중앙대3",B14="중앙대4",B14="건국대1",B14="동국대3",B14="동국대4",B14="홍익대3",B14="홍익대4",B14="숙명여대3",B14="숙명여대4",B14="국민대3",B14="국민대4",B14="단국대4",B14="단국대5",B14="단국대6",B14="아주대3",B14="아주대4",B14="한성대4",B14="한성대5",B14="한성대6",B14="가톨릭4",B14="가톨릭5",B14="가톨릭6",B14="성신여대4",B14="성신여대5",B14="성신여대6",B14="서울여대2",B14="서울여대3",B14="경원대1",B14="경원대2",B14="성균관대1"),"수능100%","+학생부")))</f>
        <v>+학생부</v>
      </c>
      <c r="K14" s="1475"/>
      <c r="L14" s="1587"/>
      <c r="M14" s="152"/>
      <c r="N14" s="152"/>
      <c r="O14" s="152"/>
      <c r="P14" s="152"/>
      <c r="Q14" s="150"/>
      <c r="R14" s="150"/>
      <c r="S14" s="120"/>
      <c r="AP14" s="1402" t="s">
        <v>793</v>
      </c>
      <c r="AQ14" s="1409" t="s">
        <v>106</v>
      </c>
      <c r="AR14" s="1401" t="s">
        <v>804</v>
      </c>
      <c r="AS14" s="1411" t="s">
        <v>117</v>
      </c>
    </row>
    <row r="15" spans="1:50" s="198" customFormat="1" ht="20.100000000000001" customHeight="1">
      <c r="A15" s="1589"/>
      <c r="B15" s="1466" t="s">
        <v>716</v>
      </c>
      <c r="C15" s="1467"/>
      <c r="D15" s="1468"/>
      <c r="E15" s="1469" t="str">
        <f>IF(OR(B15="단국대4",B15="건국대1",B15="동국대1",B15="중앙대3"),"나군전체",IF(OR(B15="한양대1"),"가군우선,나군전체",IF(OR(B15="성균관대1"),"가군우선,나군우선",IF(OR(B15="숭실대2",B15="서강대2"),"경영",IF(OR(B15="이화여대2",B15="세종대1",B15="명지대1"),"인문과학",IF(B15="이화여대3","간호,식품,보건",IF(B15="중앙대2","가군공공인재",IF(B15="중앙대4","나군공공인재",IF(B15="경희대2","국문,사학,철학,영어",IF(B15="경희대3","지리,식품,간호",IF(B15="동국대4","가군컴퓨터공,가정교육",IF(B15="동국대2","나군컴퓨터공,가정교육",IF(B15="홍익대2","가군자유전공",IF(OR(B15="건국대",B15="홍익대3",B15="국민대3",B15="단국대1"),"다군전체",IF(B15="홍익대4","다군자유전공",IF(B15="숙명여대2","가)경영",IF(B15="숙명여대3","나,다)인문,의류,식품등",IF(B15="숙명여대4","나)경영",IF(B15="숙명여대1","가)인문,의류,식품등",IF(OR(B15="한양대",B15="국민대1",B15="홍익대1",B15="서울여대1",B15="동국대3",B15="중앙대1"),"가군전체",IF(B15="국민대2","가군건축",IF(B15="국민대4","다군건축",IF(B15="숭실대3","자연,공대,IT일부",IF(B15="세종대2","인문제외문과",IF(OR(B15="세종대3",B15="명지대2",B15="서경대4",B15="덕성여대2"),"자연",IF(B15="단국대2","다군상경",IF(B15="단국대3","다군정보통계,건축",IF(B15="단국대5","나군상경",IF(B15="단국대6","나군정보통계,건축",IF(B15="아주대1","가)경영계,e비즈,자연2",IF(B15="아주대2","가)인문,사과,자전",IF(B15="아주대3","가우선,다)경영계,e비즈,자연2",IF(B15="아주대4","가우선,다)인문,사과,자전",IF(B15="서경대2","군사",IF(B15="서경대3","글로벌경영",IF(B15="한성대1","가군인문계열",IF(B15="한성대2","가군경영사과",IF(B15="한성대3","가군자연",IF(B15="한성대4","다군인문계열",IF(B15="한성대5","다군경영사과",IF(B15="한성대6","다군자연",IF(B15="삼육대1","신학,유아",IF(B15="삼육대2","경영,사회복지,상담",IF(B15="삼육대3","가군영미어문",IF(B15="삼육대4","중어,일어",IF(B15="삼육대5","가군이과전체",IF(B15="삼육대6","다군영미어문",IF(B15="삼육대7","다군이과전체",IF(B15="광운대1","법학계",IF(B15="광운대2","경영계",IF(B15="광운대3","국문",IF(B15="광운대4","영어,동북,국제,행정,미디",IF(B15="광운대5","건축,공대전체",IF(B15="상명대2","의류,외식,소비자주거",IF(B15="가톨릭2","디지털미디어",IF(B15="가톨릭3","간호",IF(B15="가톨릭4","전체 가군우선,다군",IF(B15="가톨릭5","미디어 가군우선,다군",IF(B15="가톨릭6","간호 가군우선,나군",IF(B15="성신여대2","경제,자연",IF(B15="성신여대3","간호",IF(B15="동덕여대","인문,자연전체",IF(B15="서울여대2","다-인문계열전체",IF(B15="서울여대3","다-경상계,자연일부",IF(B15="경원대2","간호포함자연","전체")))))))))))))))))))))))))))))))))))))))))))))))))))))))))))))))))</f>
        <v>가군우선,나군전체</v>
      </c>
      <c r="F15" s="1470"/>
      <c r="G15" s="1471">
        <f>G14*10/7</f>
        <v>892.891136501549</v>
      </c>
      <c r="H15" s="1472"/>
      <c r="I15" s="1473"/>
      <c r="J15" s="1474" t="str">
        <f t="shared" si="2"/>
        <v>수능100%</v>
      </c>
      <c r="K15" s="1475"/>
      <c r="L15" s="1587"/>
      <c r="M15" s="152"/>
      <c r="N15" s="152"/>
      <c r="O15" s="152"/>
      <c r="P15" s="152"/>
      <c r="S15" s="120"/>
      <c r="AP15" s="1402" t="s">
        <v>805</v>
      </c>
      <c r="AQ15" s="1409" t="s">
        <v>107</v>
      </c>
      <c r="AR15" s="1401" t="s">
        <v>806</v>
      </c>
      <c r="AS15" s="1411" t="s">
        <v>118</v>
      </c>
    </row>
    <row r="16" spans="1:50" ht="20.100000000000001" customHeight="1">
      <c r="A16" s="1589"/>
      <c r="B16" s="1466" t="s">
        <v>12</v>
      </c>
      <c r="C16" s="1467"/>
      <c r="D16" s="1468"/>
      <c r="E16" s="1469" t="str">
        <f t="shared" ref="E16:E79" si="3">IF(OR(B16="단국대4",B16="건국대1",B16="동국대1",B16="중앙대3"),"나군전체",IF(OR(B16="한양대1"),"가군우선,나군전체",IF(OR(B16="성균관대1"),"가군우선,나군우선",IF(OR(B16="숭실대2",B16="서강대2"),"경영",IF(OR(B16="이화여대2",B16="세종대1",B16="명지대1"),"인문과학",IF(B16="이화여대3","간호,식품,보건",IF(B16="중앙대2","가군공공인재",IF(B16="중앙대4","나군공공인재",IF(B16="경희대2","국문,사학,철학,영어",IF(B16="경희대3","지리,식품,간호",IF(B16="동국대4","가군컴퓨터공,가정교육",IF(B16="동국대2","나군컴퓨터공,가정교육",IF(B16="홍익대2","가군자유전공",IF(OR(B16="건국대",B16="홍익대3",B16="국민대3",B16="단국대1"),"다군전체",IF(B16="홍익대4","다군자유전공",IF(B16="숙명여대2","가)경영",IF(B16="숙명여대3","나,다)인문,의류,식품등",IF(B16="숙명여대4","나)경영",IF(B16="숙명여대1","가)인문,의류,식품등",IF(OR(B16="한양대",B16="국민대1",B16="홍익대1",B16="서울여대1",B16="동국대3",B16="중앙대1"),"가군전체",IF(B16="국민대2","가군건축",IF(B16="국민대4","다군건축",IF(B16="숭실대3","자연,공대,IT일부",IF(B16="세종대2","인문제외문과",IF(OR(B16="세종대3",B16="명지대2",B16="서경대4",B16="덕성여대2"),"자연",IF(B16="단국대2","다군상경",IF(B16="단국대3","다군정보통계,건축",IF(B16="단국대5","나군상경",IF(B16="단국대6","나군정보통계,건축",IF(B16="아주대1","가)경영계,e비즈,자연2",IF(B16="아주대2","가)인문,사과,자전",IF(B16="아주대3","가우선,다)경영계,e비즈,자연2",IF(B16="아주대4","가우선,다)인문,사과,자전",IF(B16="서경대2","군사",IF(B16="서경대3","글로벌경영",IF(B16="한성대1","가군인문계열",IF(B16="한성대2","가군경영사과",IF(B16="한성대3","가군자연",IF(B16="한성대4","다군인문계열",IF(B16="한성대5","다군경영사과",IF(B16="한성대6","다군자연",IF(B16="삼육대1","신학,유아",IF(B16="삼육대2","경영,사회복지,상담",IF(B16="삼육대3","가군영미어문",IF(B16="삼육대4","중어,일어",IF(B16="삼육대5","가군이과전체",IF(B16="삼육대6","다군영미어문",IF(B16="삼육대7","다군이과전체",IF(B16="광운대1","법학계",IF(B16="광운대2","경영계",IF(B16="광운대3","국문",IF(B16="광운대4","영어,동북,국제,행정,미디",IF(B16="광운대5","건축,공대전체",IF(B16="상명대2","의류,외식,소비자주거",IF(B16="가톨릭2","디지털미디어",IF(B16="가톨릭3","간호",IF(B16="가톨릭4","전체 가군우선,다군",IF(B16="가톨릭5","미디어 가군우선,다군",IF(B16="가톨릭6","간호 가군우선,나군",IF(B16="성신여대2","경제,자연",IF(B16="성신여대3","간호",IF(B16="동덕여대","인문,자연전체",IF(B16="서울여대2","다-인문계열전체",IF(B16="서울여대3","다-경상계,자연일부",IF(B16="경원대2","간호포함자연","전체")))))))))))))))))))))))))))))))))))))))))))))))))))))))))))))))))</f>
        <v>전체</v>
      </c>
      <c r="F16" s="1470"/>
      <c r="G16" s="1471">
        <f>VLOOKUP($B16,계산도구!$A$2:$G$529,4,FALSE)+VLOOKUP($B16,계산도구!$A$2:$G$529,5,FALSE)+VLOOKUP($B16,계산도구!$A$2:$G$529,6,FALSE)+VLOOKUP($B16,계산도구!$A$2:$G$529,7,FALSE)</f>
        <v>536.1</v>
      </c>
      <c r="H16" s="1472"/>
      <c r="I16" s="1473"/>
      <c r="J16" s="1474" t="str">
        <f t="shared" si="2"/>
        <v>+학생부</v>
      </c>
      <c r="K16" s="1475"/>
      <c r="L16" s="1587"/>
      <c r="M16" s="152"/>
      <c r="N16" s="152"/>
      <c r="O16" s="152"/>
      <c r="P16" s="152"/>
      <c r="Q16" s="152"/>
      <c r="R16" s="152"/>
      <c r="S16" s="120"/>
      <c r="AP16" s="1402" t="s">
        <v>794</v>
      </c>
      <c r="AQ16" s="1409" t="s">
        <v>108</v>
      </c>
      <c r="AR16" s="1401"/>
      <c r="AS16" s="1403"/>
    </row>
    <row r="17" spans="1:45" ht="20.100000000000001" customHeight="1">
      <c r="A17" s="1589"/>
      <c r="B17" s="1466" t="s">
        <v>13</v>
      </c>
      <c r="C17" s="1467"/>
      <c r="D17" s="1468"/>
      <c r="E17" s="1469" t="str">
        <f t="shared" si="3"/>
        <v>인문과학</v>
      </c>
      <c r="F17" s="1470"/>
      <c r="G17" s="1471">
        <f>VLOOKUP($B17,계산도구!$A$2:$G$529,4,FALSE)+VLOOKUP($B17,계산도구!$A$2:$G$529,5,FALSE)+VLOOKUP($B17,계산도구!$A$2:$G$529,6,FALSE)+VLOOKUP($B17,계산도구!$A$2:$G$529,7,FALSE)</f>
        <v>536.1</v>
      </c>
      <c r="H17" s="1472"/>
      <c r="I17" s="1473"/>
      <c r="J17" s="1474" t="str">
        <f t="shared" si="2"/>
        <v>+학생부</v>
      </c>
      <c r="K17" s="1475"/>
      <c r="L17" s="1587"/>
      <c r="M17" s="150"/>
      <c r="N17" s="150"/>
      <c r="O17" s="150"/>
      <c r="P17" s="150"/>
      <c r="Q17" s="150"/>
      <c r="R17" s="150"/>
      <c r="S17" s="120"/>
      <c r="AP17" s="1402" t="s">
        <v>795</v>
      </c>
      <c r="AQ17" s="1409" t="s">
        <v>109</v>
      </c>
      <c r="AR17" s="1401"/>
      <c r="AS17" s="1403"/>
    </row>
    <row r="18" spans="1:45" ht="20.100000000000001" customHeight="1" thickBot="1">
      <c r="A18" s="1589"/>
      <c r="B18" s="1466" t="s">
        <v>14</v>
      </c>
      <c r="C18" s="1467"/>
      <c r="D18" s="1468"/>
      <c r="E18" s="1469" t="str">
        <f t="shared" si="3"/>
        <v>간호,식품,보건</v>
      </c>
      <c r="F18" s="1470"/>
      <c r="G18" s="1471">
        <f>VLOOKUP($B18,계산도구!$A$2:$G$529,4,FALSE)+VLOOKUP($B18,계산도구!$A$2:$G$529,5,FALSE)+VLOOKUP($B18,계산도구!$A$2:$G$529,6,FALSE)+VLOOKUP($B18,계산도구!$A$2:$G$529,7,FALSE)</f>
        <v>568.65</v>
      </c>
      <c r="H18" s="1472"/>
      <c r="I18" s="1473"/>
      <c r="J18" s="1474" t="str">
        <f t="shared" si="2"/>
        <v>+학생부</v>
      </c>
      <c r="K18" s="1475"/>
      <c r="L18" s="1587"/>
      <c r="M18" s="150"/>
      <c r="N18" s="150"/>
      <c r="O18" s="150"/>
      <c r="P18" s="150"/>
      <c r="Q18" s="150"/>
      <c r="R18" s="150"/>
      <c r="S18" s="120"/>
      <c r="AP18" s="1404" t="s">
        <v>796</v>
      </c>
      <c r="AQ18" s="1410" t="s">
        <v>110</v>
      </c>
      <c r="AR18" s="1405"/>
      <c r="AS18" s="1406"/>
    </row>
    <row r="19" spans="1:45" ht="20.100000000000001" customHeight="1">
      <c r="A19" s="1589"/>
      <c r="B19" s="1466" t="s">
        <v>15</v>
      </c>
      <c r="C19" s="1467"/>
      <c r="D19" s="1468"/>
      <c r="E19" s="1469" t="str">
        <f t="shared" si="3"/>
        <v>가군전체</v>
      </c>
      <c r="F19" s="1470"/>
      <c r="G19" s="1471">
        <f>VLOOKUP($B19,계산도구!$A$2:$G$529,4,FALSE)+VLOOKUP($B19,계산도구!$A$2:$G$529,5,FALSE)+VLOOKUP($B19,계산도구!$A$2:$G$529,6,FALSE)+VLOOKUP($B19,계산도구!$A$2:$G$529,7,FALSE)</f>
        <v>628.47100000000012</v>
      </c>
      <c r="H19" s="1472"/>
      <c r="I19" s="1473"/>
      <c r="J19" s="1474" t="str">
        <f t="shared" si="2"/>
        <v>+학생부</v>
      </c>
      <c r="K19" s="1475"/>
      <c r="L19" s="1587"/>
      <c r="M19" s="150"/>
      <c r="N19" s="150"/>
      <c r="O19" s="150"/>
      <c r="P19" s="150"/>
      <c r="Q19" s="150"/>
      <c r="R19" s="150"/>
      <c r="S19" s="120"/>
    </row>
    <row r="20" spans="1:45" ht="20.100000000000001" customHeight="1">
      <c r="A20" s="1589"/>
      <c r="B20" s="1466" t="s">
        <v>17</v>
      </c>
      <c r="C20" s="1467"/>
      <c r="D20" s="1468"/>
      <c r="E20" s="1469" t="str">
        <f t="shared" si="3"/>
        <v>가군공공인재</v>
      </c>
      <c r="F20" s="1470"/>
      <c r="G20" s="1471">
        <f>VLOOKUP($B20,계산도구!$A$2:$G$529,4,FALSE)+VLOOKUP($B20,계산도구!$A$2:$G$529,5,FALSE)+VLOOKUP($B20,계산도구!$A$2:$G$529,6,FALSE)+VLOOKUP($B20,계산도구!$A$2:$G$529,7,FALSE)</f>
        <v>628.37637491616374</v>
      </c>
      <c r="H20" s="1472"/>
      <c r="I20" s="1473"/>
      <c r="J20" s="1474" t="str">
        <f t="shared" si="2"/>
        <v>+학생부</v>
      </c>
      <c r="K20" s="1475"/>
      <c r="L20" s="1587"/>
      <c r="M20" s="150"/>
      <c r="N20" s="150"/>
      <c r="O20" s="150"/>
      <c r="P20" s="150"/>
      <c r="Q20" s="150"/>
      <c r="R20" s="150"/>
      <c r="S20" s="120"/>
    </row>
    <row r="21" spans="1:45" s="198" customFormat="1" ht="20.100000000000001" customHeight="1">
      <c r="A21" s="1589"/>
      <c r="B21" s="1466" t="s">
        <v>717</v>
      </c>
      <c r="C21" s="1467"/>
      <c r="D21" s="1468"/>
      <c r="E21" s="1469" t="str">
        <f t="shared" si="3"/>
        <v>나군전체</v>
      </c>
      <c r="F21" s="1470"/>
      <c r="G21" s="1471">
        <f>G19*10/7</f>
        <v>897.81571428571442</v>
      </c>
      <c r="H21" s="1472"/>
      <c r="I21" s="1473"/>
      <c r="J21" s="1474" t="str">
        <f t="shared" si="2"/>
        <v>수능100%</v>
      </c>
      <c r="K21" s="1475"/>
      <c r="L21" s="1587"/>
      <c r="S21" s="120"/>
    </row>
    <row r="22" spans="1:45" s="198" customFormat="1" ht="20.100000000000001" customHeight="1">
      <c r="A22" s="1589"/>
      <c r="B22" s="1466" t="s">
        <v>718</v>
      </c>
      <c r="C22" s="1467"/>
      <c r="D22" s="1468"/>
      <c r="E22" s="1469" t="str">
        <f t="shared" si="3"/>
        <v>나군공공인재</v>
      </c>
      <c r="F22" s="1470"/>
      <c r="G22" s="1471">
        <f>G20*10/7</f>
        <v>897.6805355945196</v>
      </c>
      <c r="H22" s="1472"/>
      <c r="I22" s="1473"/>
      <c r="J22" s="1474" t="str">
        <f t="shared" si="2"/>
        <v>수능100%</v>
      </c>
      <c r="K22" s="1475"/>
      <c r="L22" s="1587"/>
      <c r="S22" s="120"/>
    </row>
    <row r="23" spans="1:45" ht="20.100000000000001" customHeight="1">
      <c r="A23" s="1589"/>
      <c r="B23" s="1466" t="s">
        <v>18</v>
      </c>
      <c r="C23" s="1467"/>
      <c r="D23" s="1468"/>
      <c r="E23" s="1469" t="str">
        <f t="shared" si="3"/>
        <v>전체</v>
      </c>
      <c r="F23" s="1470"/>
      <c r="G23" s="1471">
        <f>VLOOKUP($B23,계산도구!$A$2:$G$529,4,FALSE)+VLOOKUP($B23,계산도구!$A$2:$G$529,5,FALSE)+VLOOKUP($B23,계산도구!$A$2:$G$529,6,FALSE)+VLOOKUP($B23,계산도구!$A$2:$G$529,7,FALSE)</f>
        <v>626.10924241098769</v>
      </c>
      <c r="H23" s="1472"/>
      <c r="I23" s="1473"/>
      <c r="J23" s="1474" t="str">
        <f t="shared" si="2"/>
        <v>+학생부</v>
      </c>
      <c r="K23" s="1475"/>
      <c r="L23" s="1587"/>
      <c r="M23" s="150"/>
      <c r="N23" s="150"/>
      <c r="O23" s="150"/>
      <c r="P23" s="150"/>
      <c r="Q23" s="150"/>
      <c r="R23" s="150"/>
      <c r="S23" s="120"/>
    </row>
    <row r="24" spans="1:45" s="198" customFormat="1" ht="20.100000000000001" customHeight="1">
      <c r="A24" s="1589"/>
      <c r="B24" s="1466" t="s">
        <v>226</v>
      </c>
      <c r="C24" s="1467"/>
      <c r="D24" s="1468"/>
      <c r="E24" s="1469" t="str">
        <f t="shared" si="3"/>
        <v>국문,사학,철학,영어</v>
      </c>
      <c r="F24" s="1470"/>
      <c r="G24" s="1471">
        <f>VLOOKUP($B24,계산도구!$A$2:$G$529,4,FALSE)+VLOOKUP($B24,계산도구!$A$2:$G$529,5,FALSE)+VLOOKUP($B24,계산도구!$A$2:$G$529,6,FALSE)+VLOOKUP($B24,계산도구!$A$2:$G$529,7,FALSE)</f>
        <v>624.26400431574962</v>
      </c>
      <c r="H24" s="1472"/>
      <c r="I24" s="1473"/>
      <c r="J24" s="1474" t="str">
        <f t="shared" si="2"/>
        <v>+학생부</v>
      </c>
      <c r="K24" s="1475"/>
      <c r="L24" s="1587"/>
      <c r="S24" s="120"/>
    </row>
    <row r="25" spans="1:45" ht="20.100000000000001" customHeight="1">
      <c r="A25" s="1589"/>
      <c r="B25" s="1466" t="s">
        <v>227</v>
      </c>
      <c r="C25" s="1467"/>
      <c r="D25" s="1468"/>
      <c r="E25" s="1469" t="str">
        <f t="shared" si="3"/>
        <v>지리,식품,간호</v>
      </c>
      <c r="F25" s="1470"/>
      <c r="G25" s="1471">
        <f>VLOOKUP($B25,계산도구!$A$2:$G$529,4,FALSE)+VLOOKUP($B25,계산도구!$A$2:$G$529,5,FALSE)+VLOOKUP($B25,계산도구!$A$2:$G$529,6,FALSE)+VLOOKUP($B25,계산도구!$A$2:$G$529,7,FALSE)</f>
        <v>626.10924241098769</v>
      </c>
      <c r="H25" s="1472"/>
      <c r="I25" s="1473"/>
      <c r="J25" s="1474" t="str">
        <f t="shared" si="2"/>
        <v>+학생부</v>
      </c>
      <c r="K25" s="1475"/>
      <c r="L25" s="1587"/>
      <c r="M25" s="150"/>
      <c r="N25" s="150"/>
      <c r="O25" s="150"/>
      <c r="P25" s="150"/>
      <c r="Q25" s="150"/>
      <c r="R25" s="150"/>
      <c r="S25" s="120"/>
    </row>
    <row r="26" spans="1:45" ht="20.100000000000001" customHeight="1">
      <c r="A26" s="1589"/>
      <c r="B26" s="1466" t="s">
        <v>21</v>
      </c>
      <c r="C26" s="1467"/>
      <c r="D26" s="1468"/>
      <c r="E26" s="1469" t="str">
        <f t="shared" si="3"/>
        <v>전체</v>
      </c>
      <c r="F26" s="1470"/>
      <c r="G26" s="1471">
        <f>VLOOKUP($B26,계산도구!$A$2:$G$529,4,FALSE)+VLOOKUP($B26,계산도구!$A$2:$G$529,5,FALSE)+VLOOKUP($B26,계산도구!$A$2:$G$529,6,FALSE)+VLOOKUP($B26,계산도구!$A$2:$G$529,7,FALSE)</f>
        <v>506.38989769820978</v>
      </c>
      <c r="H26" s="1472"/>
      <c r="I26" s="1473"/>
      <c r="J26" s="1474" t="str">
        <f t="shared" si="2"/>
        <v>+학생부</v>
      </c>
      <c r="K26" s="1475"/>
      <c r="L26" s="1587"/>
      <c r="M26" s="152"/>
      <c r="N26" s="152"/>
      <c r="O26" s="152"/>
      <c r="P26" s="152"/>
      <c r="Q26" s="150"/>
      <c r="R26" s="150"/>
      <c r="S26" s="120"/>
      <c r="AQ26" s="198"/>
    </row>
    <row r="27" spans="1:45" ht="20.100000000000001" customHeight="1">
      <c r="A27" s="1589"/>
      <c r="B27" s="1466" t="s">
        <v>25</v>
      </c>
      <c r="C27" s="1467"/>
      <c r="D27" s="1468"/>
      <c r="E27" s="1469" t="str">
        <f t="shared" si="3"/>
        <v>전체</v>
      </c>
      <c r="F27" s="1470"/>
      <c r="G27" s="1471">
        <f>VLOOKUP($B27,계산도구!$A$2:$G$529,4,FALSE)+VLOOKUP($B27,계산도구!$A$2:$G$529,5,FALSE)+VLOOKUP($B27,계산도구!$A$2:$G$529,6,FALSE)+VLOOKUP($B27,계산도구!$A$2:$G$529,7,FALSE)</f>
        <v>624.98536502440083</v>
      </c>
      <c r="H27" s="1472"/>
      <c r="I27" s="1473"/>
      <c r="J27" s="1474" t="str">
        <f t="shared" si="2"/>
        <v>+학생부</v>
      </c>
      <c r="K27" s="1475"/>
      <c r="L27" s="1587"/>
      <c r="M27" s="150"/>
      <c r="N27" s="150"/>
      <c r="O27" s="150"/>
      <c r="P27" s="150"/>
      <c r="Q27" s="150"/>
      <c r="R27" s="150"/>
      <c r="S27" s="120"/>
    </row>
    <row r="28" spans="1:45" ht="20.100000000000001" customHeight="1">
      <c r="A28" s="1589"/>
      <c r="B28" s="1553" t="s">
        <v>26</v>
      </c>
      <c r="C28" s="1554"/>
      <c r="D28" s="1555"/>
      <c r="E28" s="1469" t="str">
        <f t="shared" si="3"/>
        <v>다군전체</v>
      </c>
      <c r="F28" s="1470"/>
      <c r="G28" s="1471">
        <f>VLOOKUP($B28,계산도구!$A$2:$G$529,4,FALSE)+VLOOKUP($B28,계산도구!$A$2:$G$529,5,FALSE)+VLOOKUP($B28,계산도구!$A$2:$G$529,6,FALSE)+VLOOKUP($B28,계산도구!$A$2:$G$529,7,FALSE)</f>
        <v>441.60900000000004</v>
      </c>
      <c r="H28" s="1472"/>
      <c r="I28" s="1473"/>
      <c r="J28" s="1556" t="str">
        <f t="shared" si="2"/>
        <v>+학생부</v>
      </c>
      <c r="K28" s="1557"/>
      <c r="L28" s="1587"/>
      <c r="M28" s="150"/>
      <c r="N28" s="150"/>
      <c r="O28" s="150"/>
      <c r="P28" s="150"/>
      <c r="Q28" s="150"/>
      <c r="R28" s="150"/>
      <c r="S28" s="120"/>
    </row>
    <row r="29" spans="1:45" s="198" customFormat="1" ht="20.100000000000001" customHeight="1">
      <c r="A29" s="1589"/>
      <c r="B29" s="1553" t="s">
        <v>719</v>
      </c>
      <c r="C29" s="1554"/>
      <c r="D29" s="1555"/>
      <c r="E29" s="1469" t="str">
        <f t="shared" si="3"/>
        <v>나군전체</v>
      </c>
      <c r="F29" s="1470"/>
      <c r="G29" s="1471">
        <f>G28*10/7</f>
        <v>630.87</v>
      </c>
      <c r="H29" s="1472"/>
      <c r="I29" s="1473"/>
      <c r="J29" s="1556" t="str">
        <f t="shared" si="2"/>
        <v>수능100%</v>
      </c>
      <c r="K29" s="1557"/>
      <c r="L29" s="1587"/>
      <c r="S29" s="120"/>
    </row>
    <row r="30" spans="1:45" ht="20.100000000000001" customHeight="1">
      <c r="A30" s="1589"/>
      <c r="B30" s="1466" t="s">
        <v>27</v>
      </c>
      <c r="C30" s="1467"/>
      <c r="D30" s="1468"/>
      <c r="E30" s="1469" t="str">
        <f t="shared" si="3"/>
        <v>나군전체</v>
      </c>
      <c r="F30" s="1470"/>
      <c r="G30" s="1471">
        <f>VLOOKUP($B30,계산도구!$A$2:$G$529,4,FALSE)+VLOOKUP($B30,계산도구!$A$2:$G$529,5,FALSE)+VLOOKUP($B30,계산도구!$A$2:$G$529,6,FALSE)+VLOOKUP($B30,계산도구!$A$2:$G$529,7,FALSE)</f>
        <v>378.31349999999998</v>
      </c>
      <c r="H30" s="1472"/>
      <c r="I30" s="1473"/>
      <c r="J30" s="1474" t="str">
        <f t="shared" si="2"/>
        <v>+학생부</v>
      </c>
      <c r="K30" s="1475"/>
      <c r="L30" s="1587"/>
      <c r="M30" s="152"/>
      <c r="N30" s="152"/>
      <c r="O30" s="152"/>
      <c r="P30" s="152"/>
      <c r="Q30" s="150"/>
      <c r="R30" s="150"/>
      <c r="S30" s="120"/>
    </row>
    <row r="31" spans="1:45" ht="20.100000000000001" customHeight="1">
      <c r="A31" s="1589"/>
      <c r="B31" s="1466" t="s">
        <v>28</v>
      </c>
      <c r="C31" s="1467"/>
      <c r="D31" s="1468"/>
      <c r="E31" s="1469" t="str">
        <f t="shared" si="3"/>
        <v>나군컴퓨터공,가정교육</v>
      </c>
      <c r="F31" s="1470"/>
      <c r="G31" s="1471">
        <f>VLOOKUP($B31,계산도구!$A$2:$G$529,4,FALSE)+VLOOKUP($B31,계산도구!$A$2:$G$529,5,FALSE)+VLOOKUP($B31,계산도구!$A$2:$G$529,6,FALSE)+VLOOKUP($B31,계산도구!$A$2:$G$529,7,FALSE)</f>
        <v>386.41800000000001</v>
      </c>
      <c r="H31" s="1472"/>
      <c r="I31" s="1473"/>
      <c r="J31" s="1474" t="str">
        <f t="shared" si="2"/>
        <v>+학생부</v>
      </c>
      <c r="K31" s="1475"/>
      <c r="L31" s="1587"/>
      <c r="M31" s="150"/>
      <c r="N31" s="150"/>
      <c r="O31" s="150"/>
      <c r="P31" s="150"/>
      <c r="Q31" s="150"/>
      <c r="R31" s="150"/>
      <c r="S31" s="150"/>
    </row>
    <row r="32" spans="1:45" s="198" customFormat="1" ht="20.100000000000001" customHeight="1">
      <c r="A32" s="1589"/>
      <c r="B32" s="1466" t="s">
        <v>720</v>
      </c>
      <c r="C32" s="1467"/>
      <c r="D32" s="1468"/>
      <c r="E32" s="1469" t="str">
        <f t="shared" si="3"/>
        <v>가군전체</v>
      </c>
      <c r="F32" s="1470"/>
      <c r="G32" s="1471">
        <f>G30*10/6</f>
        <v>630.52249999999992</v>
      </c>
      <c r="H32" s="1472"/>
      <c r="I32" s="1473"/>
      <c r="J32" s="1474" t="str">
        <f t="shared" si="2"/>
        <v>수능100%</v>
      </c>
      <c r="K32" s="1475"/>
      <c r="L32" s="1587"/>
    </row>
    <row r="33" spans="1:19" s="198" customFormat="1" ht="20.100000000000001" customHeight="1">
      <c r="A33" s="1589"/>
      <c r="B33" s="1466" t="s">
        <v>721</v>
      </c>
      <c r="C33" s="1467"/>
      <c r="D33" s="1468"/>
      <c r="E33" s="1469" t="str">
        <f t="shared" si="3"/>
        <v>가군컴퓨터공,가정교육</v>
      </c>
      <c r="F33" s="1470"/>
      <c r="G33" s="1471">
        <f>G31*10/6</f>
        <v>644.03000000000009</v>
      </c>
      <c r="H33" s="1472"/>
      <c r="I33" s="1473"/>
      <c r="J33" s="1474" t="str">
        <f t="shared" si="2"/>
        <v>수능100%</v>
      </c>
      <c r="K33" s="1475"/>
      <c r="L33" s="1587"/>
    </row>
    <row r="34" spans="1:19" ht="20.100000000000001" customHeight="1">
      <c r="A34" s="1589"/>
      <c r="B34" s="1466" t="s">
        <v>29</v>
      </c>
      <c r="C34" s="1467"/>
      <c r="D34" s="1468"/>
      <c r="E34" s="1469" t="str">
        <f t="shared" si="3"/>
        <v>가군전체</v>
      </c>
      <c r="F34" s="1470"/>
      <c r="G34" s="1471">
        <f>VLOOKUP($B34,계산도구!$A$2:$G$529,4,FALSE)+VLOOKUP($B34,계산도구!$A$2:$G$529,5,FALSE)+VLOOKUP($B34,계산도구!$A$2:$G$529,6,FALSE)+VLOOKUP($B34,계산도구!$A$2:$G$529,7,FALSE)</f>
        <v>717</v>
      </c>
      <c r="H34" s="1472"/>
      <c r="I34" s="1473"/>
      <c r="J34" s="1474" t="str">
        <f t="shared" si="2"/>
        <v>+학생부</v>
      </c>
      <c r="K34" s="1475"/>
      <c r="L34" s="1587"/>
      <c r="M34" s="152"/>
      <c r="N34" s="152"/>
      <c r="O34" s="152"/>
      <c r="P34" s="152"/>
      <c r="Q34" s="150"/>
      <c r="R34" s="150"/>
      <c r="S34" s="150"/>
    </row>
    <row r="35" spans="1:19" ht="20.100000000000001" customHeight="1">
      <c r="A35" s="1589"/>
      <c r="B35" s="1466" t="s">
        <v>30</v>
      </c>
      <c r="C35" s="1467"/>
      <c r="D35" s="1468"/>
      <c r="E35" s="1469" t="str">
        <f t="shared" si="3"/>
        <v>가군자유전공</v>
      </c>
      <c r="F35" s="1470"/>
      <c r="G35" s="1471">
        <f>VLOOKUP($B35,계산도구!$A$2:$G$529,4,FALSE)+VLOOKUP($B35,계산도구!$A$2:$G$529,5,FALSE)+VLOOKUP($B35,계산도구!$A$2:$G$529,6,FALSE)+VLOOKUP($B35,계산도구!$A$2:$G$529,7,FALSE)</f>
        <v>761.33333333333326</v>
      </c>
      <c r="H35" s="1472"/>
      <c r="I35" s="1473"/>
      <c r="J35" s="1474" t="str">
        <f t="shared" si="2"/>
        <v>+학생부</v>
      </c>
      <c r="K35" s="1475"/>
      <c r="L35" s="1587"/>
      <c r="M35" s="150"/>
      <c r="N35" s="150"/>
      <c r="O35" s="150"/>
      <c r="P35" s="150"/>
      <c r="Q35" s="150"/>
      <c r="R35" s="150"/>
      <c r="S35" s="150"/>
    </row>
    <row r="36" spans="1:19" s="198" customFormat="1" ht="20.100000000000001" customHeight="1">
      <c r="A36" s="1589"/>
      <c r="B36" s="1466" t="s">
        <v>450</v>
      </c>
      <c r="C36" s="1467"/>
      <c r="D36" s="1468"/>
      <c r="E36" s="1469" t="str">
        <f t="shared" si="3"/>
        <v>다군전체</v>
      </c>
      <c r="F36" s="1470"/>
      <c r="G36" s="1471">
        <f>G34*10/8</f>
        <v>896.25</v>
      </c>
      <c r="H36" s="1472"/>
      <c r="I36" s="1473"/>
      <c r="J36" s="1474" t="str">
        <f t="shared" si="2"/>
        <v>수능100%</v>
      </c>
      <c r="K36" s="1475"/>
      <c r="L36" s="1587"/>
    </row>
    <row r="37" spans="1:19" s="198" customFormat="1" ht="20.100000000000001" customHeight="1">
      <c r="A37" s="1589"/>
      <c r="B37" s="1466" t="s">
        <v>451</v>
      </c>
      <c r="C37" s="1467"/>
      <c r="D37" s="1468"/>
      <c r="E37" s="1469" t="str">
        <f t="shared" si="3"/>
        <v>다군자유전공</v>
      </c>
      <c r="F37" s="1470"/>
      <c r="G37" s="1471">
        <f>G35*10/8</f>
        <v>951.66666666666652</v>
      </c>
      <c r="H37" s="1472"/>
      <c r="I37" s="1473"/>
      <c r="J37" s="1474" t="str">
        <f t="shared" si="2"/>
        <v>수능100%</v>
      </c>
      <c r="K37" s="1475"/>
      <c r="L37" s="1587"/>
    </row>
    <row r="38" spans="1:19" ht="20.100000000000001" customHeight="1">
      <c r="A38" s="1589"/>
      <c r="B38" s="1466" t="s">
        <v>31</v>
      </c>
      <c r="C38" s="1467"/>
      <c r="D38" s="1468"/>
      <c r="E38" s="1469" t="str">
        <f t="shared" si="3"/>
        <v>가)인문,의류,식품등</v>
      </c>
      <c r="F38" s="1470"/>
      <c r="G38" s="1471">
        <f>VLOOKUP($B38,계산도구!$A$2:$G$529,4,FALSE)+VLOOKUP($B38,계산도구!$A$2:$G$529,5,FALSE)+VLOOKUP($B38,계산도구!$A$2:$G$529,6,FALSE)+VLOOKUP($B38,계산도구!$A$2:$G$529,7,FALSE)</f>
        <v>529.19999999999993</v>
      </c>
      <c r="H38" s="1472"/>
      <c r="I38" s="1473"/>
      <c r="J38" s="1474" t="str">
        <f t="shared" si="2"/>
        <v>+학생부</v>
      </c>
      <c r="K38" s="1475"/>
      <c r="L38" s="1587"/>
      <c r="M38" s="152"/>
      <c r="N38" s="152"/>
      <c r="O38" s="152"/>
      <c r="P38" s="152"/>
      <c r="Q38" s="152"/>
      <c r="R38" s="152"/>
      <c r="S38" s="150"/>
    </row>
    <row r="39" spans="1:19" s="6" customFormat="1" ht="20.100000000000001" customHeight="1">
      <c r="A39" s="1589"/>
      <c r="B39" s="1466" t="s">
        <v>32</v>
      </c>
      <c r="C39" s="1467"/>
      <c r="D39" s="1468"/>
      <c r="E39" s="1469" t="str">
        <f t="shared" si="3"/>
        <v>가)경영</v>
      </c>
      <c r="F39" s="1470"/>
      <c r="G39" s="1471">
        <f>VLOOKUP($B39,계산도구!$A$2:$G$529,4,FALSE)+VLOOKUP($B39,계산도구!$A$2:$G$529,5,FALSE)+VLOOKUP($B39,계산도구!$A$2:$G$529,6,FALSE)+VLOOKUP($B39,계산도구!$A$2:$G$529,7,FALSE)</f>
        <v>530.4</v>
      </c>
      <c r="H39" s="1472"/>
      <c r="I39" s="1473"/>
      <c r="J39" s="1474" t="str">
        <f t="shared" si="2"/>
        <v>+학생부</v>
      </c>
      <c r="K39" s="1475"/>
      <c r="L39" s="1587"/>
      <c r="M39" s="152"/>
      <c r="N39" s="152"/>
      <c r="O39" s="152"/>
      <c r="P39" s="152"/>
      <c r="Q39" s="152"/>
      <c r="R39" s="152"/>
      <c r="S39" s="152"/>
    </row>
    <row r="40" spans="1:19" s="198" customFormat="1" ht="20.100000000000001" customHeight="1">
      <c r="A40" s="1589"/>
      <c r="B40" s="1466" t="s">
        <v>452</v>
      </c>
      <c r="C40" s="1467"/>
      <c r="D40" s="1468"/>
      <c r="E40" s="1469" t="str">
        <f t="shared" si="3"/>
        <v>나,다)인문,의류,식품등</v>
      </c>
      <c r="F40" s="1470"/>
      <c r="G40" s="1471">
        <f>G38*10/6</f>
        <v>881.99999999999989</v>
      </c>
      <c r="H40" s="1472"/>
      <c r="I40" s="1473"/>
      <c r="J40" s="1474" t="str">
        <f t="shared" si="2"/>
        <v>수능100%</v>
      </c>
      <c r="K40" s="1475"/>
      <c r="L40" s="1587"/>
      <c r="M40" s="152"/>
      <c r="N40" s="152"/>
      <c r="O40" s="152"/>
      <c r="P40" s="152"/>
      <c r="Q40" s="152"/>
      <c r="R40" s="152"/>
      <c r="S40" s="152"/>
    </row>
    <row r="41" spans="1:19" s="198" customFormat="1" ht="20.100000000000001" customHeight="1">
      <c r="A41" s="1589"/>
      <c r="B41" s="1466" t="s">
        <v>453</v>
      </c>
      <c r="C41" s="1467"/>
      <c r="D41" s="1468"/>
      <c r="E41" s="1469" t="str">
        <f t="shared" si="3"/>
        <v>나)경영</v>
      </c>
      <c r="F41" s="1470"/>
      <c r="G41" s="1471">
        <f>G39*10/6</f>
        <v>884</v>
      </c>
      <c r="H41" s="1472"/>
      <c r="I41" s="1473"/>
      <c r="J41" s="1474" t="str">
        <f t="shared" si="2"/>
        <v>수능100%</v>
      </c>
      <c r="K41" s="1475"/>
      <c r="L41" s="1587"/>
      <c r="M41" s="152"/>
      <c r="N41" s="152"/>
      <c r="O41" s="152"/>
      <c r="P41" s="152"/>
      <c r="Q41" s="152"/>
      <c r="R41" s="152"/>
      <c r="S41" s="152"/>
    </row>
    <row r="42" spans="1:19" s="6" customFormat="1" ht="20.100000000000001" customHeight="1">
      <c r="A42" s="1589"/>
      <c r="B42" s="1466" t="s">
        <v>263</v>
      </c>
      <c r="C42" s="1467"/>
      <c r="D42" s="1468"/>
      <c r="E42" s="1469" t="str">
        <f t="shared" si="3"/>
        <v>가군전체</v>
      </c>
      <c r="F42" s="1470"/>
      <c r="G42" s="1471">
        <f>VLOOKUP($B42,계산도구!$A$2:$G$529,4,FALSE)+VLOOKUP($B42,계산도구!$A$2:$G$529,5,FALSE)+VLOOKUP($B42,계산도구!$A$2:$G$529,6,FALSE)+VLOOKUP($B42,계산도구!$A$2:$G$529,7,FALSE)</f>
        <v>609.875</v>
      </c>
      <c r="H42" s="1472"/>
      <c r="I42" s="1473"/>
      <c r="J42" s="1474" t="str">
        <f t="shared" si="2"/>
        <v>+학생부</v>
      </c>
      <c r="K42" s="1475"/>
      <c r="L42" s="1587"/>
      <c r="M42" s="150"/>
      <c r="N42" s="150"/>
      <c r="O42" s="150"/>
      <c r="P42" s="150"/>
      <c r="Q42" s="150"/>
      <c r="R42" s="150"/>
      <c r="S42" s="150"/>
    </row>
    <row r="43" spans="1:19" s="198" customFormat="1" ht="20.100000000000001" customHeight="1">
      <c r="A43" s="1589"/>
      <c r="B43" s="1466" t="s">
        <v>264</v>
      </c>
      <c r="C43" s="1467"/>
      <c r="D43" s="1468"/>
      <c r="E43" s="1469" t="str">
        <f t="shared" si="3"/>
        <v>가군건축</v>
      </c>
      <c r="F43" s="1470"/>
      <c r="G43" s="1471">
        <f>VLOOKUP($B43,계산도구!$A$2:$G$529,4,FALSE)+VLOOKUP($B43,계산도구!$A$2:$G$529,5,FALSE)+VLOOKUP($B43,계산도구!$A$2:$G$529,6,FALSE)+VLOOKUP($B43,계산도구!$A$2:$G$529,7,FALSE)</f>
        <v>623.52499999999998</v>
      </c>
      <c r="H43" s="1472"/>
      <c r="I43" s="1473"/>
      <c r="J43" s="1474" t="str">
        <f t="shared" si="2"/>
        <v>+학생부</v>
      </c>
      <c r="K43" s="1475"/>
      <c r="L43" s="1587"/>
    </row>
    <row r="44" spans="1:19" s="198" customFormat="1" ht="20.100000000000001" customHeight="1">
      <c r="A44" s="1589"/>
      <c r="B44" s="1466" t="s">
        <v>454</v>
      </c>
      <c r="C44" s="1467"/>
      <c r="D44" s="1468"/>
      <c r="E44" s="1469" t="str">
        <f t="shared" si="3"/>
        <v>다군전체</v>
      </c>
      <c r="F44" s="1470"/>
      <c r="G44" s="1471">
        <f>G42*10/7</f>
        <v>871.25</v>
      </c>
      <c r="H44" s="1472"/>
      <c r="I44" s="1473"/>
      <c r="J44" s="1474" t="str">
        <f t="shared" si="2"/>
        <v>수능100%</v>
      </c>
      <c r="K44" s="1475"/>
      <c r="L44" s="1587"/>
    </row>
    <row r="45" spans="1:19" s="198" customFormat="1" ht="20.100000000000001" customHeight="1">
      <c r="A45" s="1589"/>
      <c r="B45" s="1466" t="s">
        <v>455</v>
      </c>
      <c r="C45" s="1467"/>
      <c r="D45" s="1468"/>
      <c r="E45" s="1469" t="str">
        <f t="shared" si="3"/>
        <v>다군건축</v>
      </c>
      <c r="F45" s="1470"/>
      <c r="G45" s="1471">
        <f>G43*10/7</f>
        <v>890.75</v>
      </c>
      <c r="H45" s="1472"/>
      <c r="I45" s="1473"/>
      <c r="J45" s="1474" t="str">
        <f t="shared" si="2"/>
        <v>수능100%</v>
      </c>
      <c r="K45" s="1475"/>
      <c r="L45" s="1587"/>
    </row>
    <row r="46" spans="1:19" s="6" customFormat="1" ht="20.100000000000001" customHeight="1">
      <c r="A46" s="1589"/>
      <c r="B46" s="1466" t="s">
        <v>33</v>
      </c>
      <c r="C46" s="1467"/>
      <c r="D46" s="1468"/>
      <c r="E46" s="1469" t="str">
        <f t="shared" si="3"/>
        <v>전체</v>
      </c>
      <c r="F46" s="1470"/>
      <c r="G46" s="1471">
        <f>VLOOKUP($B46,계산도구!$A$2:$G$529,4,FALSE)+VLOOKUP($B46,계산도구!$A$2:$G$529,5,FALSE)+VLOOKUP($B46,계산도구!$A$2:$G$529,6,FALSE)+VLOOKUP($B46,계산도구!$A$2:$G$529,7,FALSE)</f>
        <v>607.42499999999995</v>
      </c>
      <c r="H46" s="1472"/>
      <c r="I46" s="1473"/>
      <c r="J46" s="1474" t="str">
        <f t="shared" si="2"/>
        <v>+학생부</v>
      </c>
      <c r="K46" s="1475"/>
      <c r="L46" s="1587"/>
      <c r="M46" s="152"/>
      <c r="N46" s="152"/>
      <c r="O46" s="152"/>
      <c r="P46" s="150"/>
      <c r="Q46" s="150"/>
      <c r="R46" s="150"/>
      <c r="S46" s="150"/>
    </row>
    <row r="47" spans="1:19" s="6" customFormat="1" ht="20.100000000000001" customHeight="1">
      <c r="A47" s="1589"/>
      <c r="B47" s="1466" t="s">
        <v>34</v>
      </c>
      <c r="C47" s="1467"/>
      <c r="D47" s="1468"/>
      <c r="E47" s="1469" t="str">
        <f t="shared" si="3"/>
        <v>경영</v>
      </c>
      <c r="F47" s="1470"/>
      <c r="G47" s="1471">
        <f>VLOOKUP($B47,계산도구!$A$2:$G$529,4,FALSE)+VLOOKUP($B47,계산도구!$A$2:$G$529,5,FALSE)+VLOOKUP($B47,계산도구!$A$2:$G$529,6,FALSE)+VLOOKUP($B47,계산도구!$A$2:$G$529,7,FALSE)</f>
        <v>613.02499999999986</v>
      </c>
      <c r="H47" s="1472"/>
      <c r="I47" s="1473"/>
      <c r="J47" s="1474" t="str">
        <f t="shared" si="2"/>
        <v>+학생부</v>
      </c>
      <c r="K47" s="1475"/>
      <c r="L47" s="1587"/>
      <c r="M47" s="152"/>
      <c r="N47" s="152"/>
      <c r="O47" s="152"/>
      <c r="P47" s="150"/>
      <c r="Q47" s="150"/>
      <c r="R47" s="150"/>
      <c r="S47" s="150"/>
    </row>
    <row r="48" spans="1:19" s="6" customFormat="1" ht="20.100000000000001" customHeight="1">
      <c r="A48" s="1589"/>
      <c r="B48" s="1466" t="s">
        <v>35</v>
      </c>
      <c r="C48" s="1467"/>
      <c r="D48" s="1468"/>
      <c r="E48" s="1469" t="str">
        <f t="shared" si="3"/>
        <v>자연,공대,IT일부</v>
      </c>
      <c r="F48" s="1470"/>
      <c r="G48" s="1471">
        <f>VLOOKUP($B48,계산도구!$A$2:$G$529,4,FALSE)+VLOOKUP($B48,계산도구!$A$2:$G$529,5,FALSE)+VLOOKUP($B48,계산도구!$A$2:$G$529,6,FALSE)+VLOOKUP($B48,계산도구!$A$2:$G$529,7,FALSE)</f>
        <v>613.02499999999986</v>
      </c>
      <c r="H48" s="1472"/>
      <c r="I48" s="1473"/>
      <c r="J48" s="1474" t="str">
        <f t="shared" si="2"/>
        <v>+학생부</v>
      </c>
      <c r="K48" s="1475"/>
      <c r="L48" s="1587"/>
      <c r="M48" s="150"/>
      <c r="N48" s="150"/>
      <c r="O48" s="150"/>
      <c r="P48" s="150"/>
      <c r="Q48" s="150"/>
      <c r="R48" s="150"/>
      <c r="S48" s="150"/>
    </row>
    <row r="49" spans="1:19" s="6" customFormat="1" ht="20.100000000000001" customHeight="1">
      <c r="A49" s="1589"/>
      <c r="B49" s="1466" t="s">
        <v>36</v>
      </c>
      <c r="C49" s="1467"/>
      <c r="D49" s="1468"/>
      <c r="E49" s="1469" t="str">
        <f t="shared" si="3"/>
        <v>인문과학</v>
      </c>
      <c r="F49" s="1470"/>
      <c r="G49" s="1471">
        <f>VLOOKUP($B49,계산도구!$A$2:$G$529,4,FALSE)+VLOOKUP($B49,계산도구!$A$2:$G$529,5,FALSE)+VLOOKUP($B49,계산도구!$A$2:$G$529,6,FALSE)+VLOOKUP($B49,계산도구!$A$2:$G$529,7,FALSE)</f>
        <v>633.60120724346075</v>
      </c>
      <c r="H49" s="1472"/>
      <c r="I49" s="1473"/>
      <c r="J49" s="1474" t="str">
        <f t="shared" si="2"/>
        <v>+학생부</v>
      </c>
      <c r="K49" s="1475"/>
      <c r="L49" s="1587"/>
      <c r="M49" s="152"/>
      <c r="N49" s="152"/>
      <c r="O49" s="152"/>
      <c r="P49" s="150"/>
      <c r="Q49" s="150"/>
      <c r="R49" s="150"/>
      <c r="S49" s="150"/>
    </row>
    <row r="50" spans="1:19" s="198" customFormat="1" ht="20.100000000000001" customHeight="1">
      <c r="A50" s="1589"/>
      <c r="B50" s="1466" t="s">
        <v>441</v>
      </c>
      <c r="C50" s="1467"/>
      <c r="D50" s="1468"/>
      <c r="E50" s="1469" t="str">
        <f t="shared" si="3"/>
        <v>인문제외문과</v>
      </c>
      <c r="F50" s="1470"/>
      <c r="G50" s="1471">
        <f>VLOOKUP($B50,계산도구!$A$2:$G$529,4,FALSE)+VLOOKUP($B50,계산도구!$A$2:$G$529,5,FALSE)+VLOOKUP($B50,계산도구!$A$2:$G$529,6,FALSE)+VLOOKUP($B50,계산도구!$A$2:$G$529,7,FALSE)</f>
        <v>631.45120724346077</v>
      </c>
      <c r="H50" s="1472"/>
      <c r="I50" s="1473"/>
      <c r="J50" s="1474" t="str">
        <f t="shared" si="2"/>
        <v>+학생부</v>
      </c>
      <c r="K50" s="1475"/>
      <c r="L50" s="1587"/>
      <c r="M50" s="152"/>
      <c r="N50" s="152"/>
      <c r="O50" s="152"/>
    </row>
    <row r="51" spans="1:19" s="6" customFormat="1" ht="20.100000000000001" customHeight="1">
      <c r="A51" s="1589"/>
      <c r="B51" s="1466" t="s">
        <v>442</v>
      </c>
      <c r="C51" s="1467"/>
      <c r="D51" s="1468"/>
      <c r="E51" s="1469" t="str">
        <f t="shared" si="3"/>
        <v>자연</v>
      </c>
      <c r="F51" s="1470"/>
      <c r="G51" s="1471">
        <f>VLOOKUP($B51,계산도구!$A$2:$G$529,4,FALSE)+VLOOKUP($B51,계산도구!$A$2:$G$529,5,FALSE)+VLOOKUP($B51,계산도구!$A$2:$G$529,6,FALSE)+VLOOKUP($B51,계산도구!$A$2:$G$529,7,FALSE)</f>
        <v>631.98708920187789</v>
      </c>
      <c r="H51" s="1472"/>
      <c r="I51" s="1473"/>
      <c r="J51" s="1474" t="str">
        <f t="shared" si="2"/>
        <v>+학생부</v>
      </c>
      <c r="K51" s="1475"/>
      <c r="L51" s="1587"/>
      <c r="M51" s="150"/>
      <c r="N51" s="150"/>
      <c r="O51" s="150"/>
      <c r="P51" s="150"/>
      <c r="Q51" s="150"/>
      <c r="R51" s="150"/>
      <c r="S51" s="150"/>
    </row>
    <row r="52" spans="1:19" s="6" customFormat="1" ht="20.100000000000001" customHeight="1">
      <c r="A52" s="1589"/>
      <c r="B52" s="1466" t="s">
        <v>235</v>
      </c>
      <c r="C52" s="1467"/>
      <c r="D52" s="1468"/>
      <c r="E52" s="1495" t="str">
        <f t="shared" si="3"/>
        <v>다군전체</v>
      </c>
      <c r="F52" s="1496"/>
      <c r="G52" s="1471">
        <f>VLOOKUP($B52,계산도구!$A$2:$G$529,4,FALSE)+VLOOKUP($B52,계산도구!$A$2:$G$529,5,FALSE)+VLOOKUP($B52,계산도구!$A$2:$G$529,6,FALSE)+VLOOKUP($B52,계산도구!$A$2:$G$529,7,FALSE)</f>
        <v>617.4</v>
      </c>
      <c r="H52" s="1472"/>
      <c r="I52" s="1473"/>
      <c r="J52" s="1474" t="str">
        <f t="shared" si="2"/>
        <v>+학생부</v>
      </c>
      <c r="K52" s="1475"/>
      <c r="L52" s="1587"/>
      <c r="M52" s="150"/>
      <c r="N52" s="150"/>
      <c r="O52" s="150"/>
      <c r="P52" s="150"/>
      <c r="Q52" s="150"/>
      <c r="R52" s="150"/>
      <c r="S52" s="150"/>
    </row>
    <row r="53" spans="1:19" s="198" customFormat="1" ht="20.100000000000001" customHeight="1">
      <c r="A53" s="1589"/>
      <c r="B53" s="1466" t="s">
        <v>236</v>
      </c>
      <c r="C53" s="1467"/>
      <c r="D53" s="1468"/>
      <c r="E53" s="1495" t="str">
        <f t="shared" si="3"/>
        <v>다군상경</v>
      </c>
      <c r="F53" s="1496"/>
      <c r="G53" s="1471">
        <f>VLOOKUP($B53,계산도구!$A$2:$G$529,4,FALSE)+VLOOKUP($B53,계산도구!$A$2:$G$529,5,FALSE)+VLOOKUP($B53,계산도구!$A$2:$G$529,6,FALSE)+VLOOKUP($B53,계산도구!$A$2:$G$529,7,FALSE)</f>
        <v>627.375</v>
      </c>
      <c r="H53" s="1472"/>
      <c r="I53" s="1473"/>
      <c r="J53" s="1474" t="str">
        <f t="shared" si="2"/>
        <v>+학생부</v>
      </c>
      <c r="K53" s="1475"/>
      <c r="L53" s="1587"/>
    </row>
    <row r="54" spans="1:19" s="198" customFormat="1" ht="20.100000000000001" customHeight="1">
      <c r="A54" s="1589"/>
      <c r="B54" s="1466" t="s">
        <v>237</v>
      </c>
      <c r="C54" s="1467"/>
      <c r="D54" s="1468"/>
      <c r="E54" s="1495" t="str">
        <f t="shared" si="3"/>
        <v>다군정보통계,건축</v>
      </c>
      <c r="F54" s="1496"/>
      <c r="G54" s="1471">
        <f>VLOOKUP($B54,계산도구!$A$2:$G$529,4,FALSE)+VLOOKUP($B54,계산도구!$A$2:$G$529,5,FALSE)+VLOOKUP($B54,계산도구!$A$2:$G$529,6,FALSE)+VLOOKUP($B54,계산도구!$A$2:$G$529,7,FALSE)</f>
        <v>617.4</v>
      </c>
      <c r="H54" s="1472"/>
      <c r="I54" s="1473"/>
      <c r="J54" s="1474" t="str">
        <f t="shared" si="2"/>
        <v>+학생부</v>
      </c>
      <c r="K54" s="1475"/>
      <c r="L54" s="1587"/>
    </row>
    <row r="55" spans="1:19" s="198" customFormat="1" ht="20.100000000000001" customHeight="1">
      <c r="A55" s="1589"/>
      <c r="B55" s="1466" t="s">
        <v>461</v>
      </c>
      <c r="C55" s="1467"/>
      <c r="D55" s="1468"/>
      <c r="E55" s="1495" t="str">
        <f t="shared" si="3"/>
        <v>나군전체</v>
      </c>
      <c r="F55" s="1496"/>
      <c r="G55" s="1471">
        <f>G52*10/7</f>
        <v>882</v>
      </c>
      <c r="H55" s="1472"/>
      <c r="I55" s="1473"/>
      <c r="J55" s="1474" t="str">
        <f t="shared" si="2"/>
        <v>수능100%</v>
      </c>
      <c r="K55" s="1475"/>
      <c r="L55" s="1587"/>
    </row>
    <row r="56" spans="1:19" s="198" customFormat="1" ht="20.100000000000001" customHeight="1">
      <c r="A56" s="1589"/>
      <c r="B56" s="1466" t="s">
        <v>462</v>
      </c>
      <c r="C56" s="1467"/>
      <c r="D56" s="1468"/>
      <c r="E56" s="1495" t="str">
        <f t="shared" si="3"/>
        <v>나군상경</v>
      </c>
      <c r="F56" s="1496"/>
      <c r="G56" s="1471">
        <f>G53*10/7</f>
        <v>896.25</v>
      </c>
      <c r="H56" s="1472"/>
      <c r="I56" s="1473"/>
      <c r="J56" s="1474" t="str">
        <f t="shared" si="2"/>
        <v>수능100%</v>
      </c>
      <c r="K56" s="1475"/>
      <c r="L56" s="1587"/>
    </row>
    <row r="57" spans="1:19" s="198" customFormat="1" ht="20.100000000000001" customHeight="1">
      <c r="A57" s="1589"/>
      <c r="B57" s="1466" t="s">
        <v>463</v>
      </c>
      <c r="C57" s="1467"/>
      <c r="D57" s="1468"/>
      <c r="E57" s="1495" t="str">
        <f t="shared" si="3"/>
        <v>나군정보통계,건축</v>
      </c>
      <c r="F57" s="1496"/>
      <c r="G57" s="1471">
        <f>G54*10/7</f>
        <v>882</v>
      </c>
      <c r="H57" s="1472"/>
      <c r="I57" s="1473"/>
      <c r="J57" s="1474" t="str">
        <f t="shared" si="2"/>
        <v>수능100%</v>
      </c>
      <c r="K57" s="1475"/>
      <c r="L57" s="1587"/>
    </row>
    <row r="58" spans="1:19" s="6" customFormat="1" ht="20.100000000000001" customHeight="1">
      <c r="A58" s="1589"/>
      <c r="B58" s="1553" t="s">
        <v>37</v>
      </c>
      <c r="C58" s="1554"/>
      <c r="D58" s="1555"/>
      <c r="E58" s="1469" t="str">
        <f t="shared" si="3"/>
        <v>전체</v>
      </c>
      <c r="F58" s="1470"/>
      <c r="G58" s="1471">
        <f>VLOOKUP($B58,계산도구!$A$2:$G$529,4,FALSE)+VLOOKUP($B58,계산도구!$A$2:$G$529,5,FALSE)+VLOOKUP($B58,계산도구!$A$2:$G$529,6,FALSE)+VLOOKUP($B58,계산도구!$A$2:$G$529,7,FALSE)</f>
        <v>467.22772727272729</v>
      </c>
      <c r="H58" s="1472"/>
      <c r="I58" s="1473"/>
      <c r="J58" s="1556" t="str">
        <f t="shared" si="2"/>
        <v>+학생부</v>
      </c>
      <c r="K58" s="1557"/>
      <c r="L58" s="1587"/>
      <c r="M58" s="152"/>
      <c r="N58" s="152"/>
      <c r="O58" s="152"/>
      <c r="P58" s="150"/>
      <c r="Q58" s="150"/>
      <c r="R58" s="150"/>
      <c r="S58" s="150"/>
    </row>
    <row r="59" spans="1:19" s="6" customFormat="1" ht="20.100000000000001" customHeight="1">
      <c r="A59" s="1589"/>
      <c r="B59" s="1466" t="s">
        <v>38</v>
      </c>
      <c r="C59" s="1467"/>
      <c r="D59" s="1468"/>
      <c r="E59" s="1469" t="str">
        <f t="shared" si="3"/>
        <v>가)경영계,e비즈,자연2</v>
      </c>
      <c r="F59" s="1470"/>
      <c r="G59" s="1471">
        <f>VLOOKUP($B59,계산도구!$A$2:$G$529,4,FALSE)+VLOOKUP($B59,계산도구!$A$2:$G$529,5,FALSE)+VLOOKUP($B59,계산도구!$A$2:$G$529,6,FALSE)+VLOOKUP($B59,계산도구!$A$2:$G$529,7,FALSE)</f>
        <v>62.209429824561397</v>
      </c>
      <c r="H59" s="1472"/>
      <c r="I59" s="1473"/>
      <c r="J59" s="1474" t="str">
        <f t="shared" si="2"/>
        <v>+학생부</v>
      </c>
      <c r="K59" s="1475"/>
      <c r="L59" s="1587"/>
      <c r="M59" s="152"/>
      <c r="N59" s="152"/>
      <c r="O59" s="152"/>
      <c r="P59" s="150"/>
      <c r="Q59" s="150"/>
      <c r="R59" s="150"/>
      <c r="S59" s="150"/>
    </row>
    <row r="60" spans="1:19" s="6" customFormat="1" ht="20.100000000000001" customHeight="1">
      <c r="A60" s="1589"/>
      <c r="B60" s="1466" t="s">
        <v>39</v>
      </c>
      <c r="C60" s="1467"/>
      <c r="D60" s="1468"/>
      <c r="E60" s="1469" t="str">
        <f t="shared" si="3"/>
        <v>가)인문,사과,자전</v>
      </c>
      <c r="F60" s="1470"/>
      <c r="G60" s="1471">
        <f>VLOOKUP($B60,계산도구!$A$2:$G$529,4,FALSE)+VLOOKUP($B60,계산도구!$A$2:$G$529,5,FALSE)+VLOOKUP($B60,계산도구!$A$2:$G$529,6,FALSE)+VLOOKUP($B60,계산도구!$A$2:$G$529,7,FALSE)</f>
        <v>61.809331373989707</v>
      </c>
      <c r="H60" s="1472"/>
      <c r="I60" s="1473"/>
      <c r="J60" s="1474" t="str">
        <f t="shared" si="2"/>
        <v>+학생부</v>
      </c>
      <c r="K60" s="1475"/>
      <c r="L60" s="1587"/>
      <c r="M60" s="150"/>
      <c r="N60" s="150"/>
      <c r="O60" s="150"/>
      <c r="P60" s="150"/>
      <c r="Q60" s="150"/>
      <c r="R60" s="150"/>
      <c r="S60" s="150"/>
    </row>
    <row r="61" spans="1:19" s="198" customFormat="1" ht="20.100000000000001" customHeight="1">
      <c r="A61" s="1589"/>
      <c r="B61" s="1466" t="s">
        <v>437</v>
      </c>
      <c r="C61" s="1467"/>
      <c r="D61" s="1468"/>
      <c r="E61" s="1469" t="str">
        <f t="shared" si="3"/>
        <v>가우선,다)경영계,e비즈,자연2</v>
      </c>
      <c r="F61" s="1470"/>
      <c r="G61" s="1471">
        <f>VLOOKUP($B61,계산도구!$A$2:$G$529,4,FALSE)+VLOOKUP($B61,계산도구!$A$2:$G$529,5,FALSE)+VLOOKUP($B61,계산도구!$A$2:$G$529,6,FALSE)+VLOOKUP($B61,계산도구!$A$2:$G$529,7,FALSE)</f>
        <v>607.875</v>
      </c>
      <c r="H61" s="1472"/>
      <c r="I61" s="1473"/>
      <c r="J61" s="1474" t="str">
        <f t="shared" si="2"/>
        <v>수능100%</v>
      </c>
      <c r="K61" s="1475"/>
      <c r="L61" s="1587"/>
    </row>
    <row r="62" spans="1:19" s="198" customFormat="1" ht="20.100000000000001" customHeight="1">
      <c r="A62" s="1589"/>
      <c r="B62" s="1466" t="s">
        <v>438</v>
      </c>
      <c r="C62" s="1467"/>
      <c r="D62" s="1468"/>
      <c r="E62" s="1469" t="str">
        <f t="shared" si="3"/>
        <v>가우선,다)인문,사과,자전</v>
      </c>
      <c r="F62" s="1470"/>
      <c r="G62" s="1471">
        <f>VLOOKUP($B62,계산도구!$A$2:$G$529,4,FALSE)+VLOOKUP($B62,계산도구!$A$2:$G$529,5,FALSE)+VLOOKUP($B62,계산도구!$A$2:$G$529,6,FALSE)+VLOOKUP($B62,계산도구!$A$2:$G$529,7,FALSE)</f>
        <v>600.875</v>
      </c>
      <c r="H62" s="1472"/>
      <c r="I62" s="1473"/>
      <c r="J62" s="1474" t="str">
        <f t="shared" si="2"/>
        <v>수능100%</v>
      </c>
      <c r="K62" s="1475"/>
      <c r="L62" s="1587"/>
    </row>
    <row r="63" spans="1:19" s="6" customFormat="1" ht="20.100000000000001" customHeight="1">
      <c r="A63" s="1589"/>
      <c r="B63" s="1466" t="s">
        <v>128</v>
      </c>
      <c r="C63" s="1467"/>
      <c r="D63" s="1468"/>
      <c r="E63" s="1469" t="str">
        <f t="shared" si="3"/>
        <v>인문과학</v>
      </c>
      <c r="F63" s="1470"/>
      <c r="G63" s="1471">
        <f>VLOOKUP($B63,계산도구!$A$2:$G$529,4,FALSE)+VLOOKUP($B63,계산도구!$A$2:$G$529,5,FALSE)+VLOOKUP($B63,계산도구!$A$2:$G$529,6,FALSE)+VLOOKUP($B63,계산도구!$A$2:$G$529,7,FALSE)</f>
        <v>523.5</v>
      </c>
      <c r="H63" s="1472"/>
      <c r="I63" s="1473"/>
      <c r="J63" s="1474" t="str">
        <f t="shared" si="2"/>
        <v>+학생부</v>
      </c>
      <c r="K63" s="1475"/>
      <c r="L63" s="1587"/>
      <c r="M63" s="150"/>
      <c r="N63" s="150"/>
      <c r="O63" s="150"/>
      <c r="P63" s="150"/>
      <c r="Q63" s="150"/>
      <c r="R63" s="150"/>
      <c r="S63" s="150"/>
    </row>
    <row r="64" spans="1:19" s="6" customFormat="1" ht="20.100000000000001" customHeight="1">
      <c r="A64" s="1589"/>
      <c r="B64" s="1466" t="s">
        <v>129</v>
      </c>
      <c r="C64" s="1467"/>
      <c r="D64" s="1468"/>
      <c r="E64" s="1469" t="str">
        <f t="shared" si="3"/>
        <v>자연</v>
      </c>
      <c r="F64" s="1470"/>
      <c r="G64" s="1471">
        <f>VLOOKUP($B64,계산도구!$A$2:$G$529,4,FALSE)+VLOOKUP($B64,계산도구!$A$2:$G$529,5,FALSE)+VLOOKUP($B64,계산도구!$A$2:$G$529,6,FALSE)+VLOOKUP($B64,계산도구!$A$2:$G$529,7,FALSE)</f>
        <v>527.5</v>
      </c>
      <c r="H64" s="1472"/>
      <c r="I64" s="1473"/>
      <c r="J64" s="1474" t="str">
        <f t="shared" si="2"/>
        <v>+학생부</v>
      </c>
      <c r="K64" s="1475"/>
      <c r="L64" s="1587"/>
      <c r="M64" s="150"/>
      <c r="N64" s="150"/>
      <c r="O64" s="150"/>
      <c r="P64" s="150"/>
      <c r="Q64" s="150"/>
      <c r="R64" s="150"/>
      <c r="S64" s="150"/>
    </row>
    <row r="65" spans="1:19" s="6" customFormat="1" ht="20.100000000000001" customHeight="1">
      <c r="A65" s="1589"/>
      <c r="B65" s="1466" t="s">
        <v>130</v>
      </c>
      <c r="C65" s="1467"/>
      <c r="D65" s="1468"/>
      <c r="E65" s="1469" t="str">
        <f t="shared" si="3"/>
        <v>전체</v>
      </c>
      <c r="F65" s="1470"/>
      <c r="G65" s="1471">
        <f>VLOOKUP($B65,계산도구!$A$2:$G$529,4,FALSE)+VLOOKUP($B65,계산도구!$A$2:$G$529,5,FALSE)+VLOOKUP($B65,계산도구!$A$2:$G$529,6,FALSE)+VLOOKUP($B65,계산도구!$A$2:$G$529,7,FALSE)</f>
        <v>608.64999999999986</v>
      </c>
      <c r="H65" s="1472"/>
      <c r="I65" s="1473"/>
      <c r="J65" s="1474" t="str">
        <f t="shared" si="2"/>
        <v>+학생부</v>
      </c>
      <c r="K65" s="1475"/>
      <c r="L65" s="1587"/>
      <c r="M65" s="150"/>
      <c r="N65" s="150"/>
      <c r="O65" s="150"/>
      <c r="P65" s="150"/>
      <c r="Q65" s="150"/>
      <c r="R65" s="150"/>
      <c r="S65" s="150"/>
    </row>
    <row r="66" spans="1:19" s="6" customFormat="1" ht="20.100000000000001" customHeight="1">
      <c r="A66" s="1589"/>
      <c r="B66" s="1466" t="s">
        <v>131</v>
      </c>
      <c r="C66" s="1467"/>
      <c r="D66" s="1468"/>
      <c r="E66" s="1469" t="str">
        <f t="shared" si="3"/>
        <v>군사</v>
      </c>
      <c r="F66" s="1470"/>
      <c r="G66" s="1471">
        <f>VLOOKUP($B66,계산도구!$A$2:$G$529,4,FALSE)+VLOOKUP($B66,계산도구!$A$2:$G$529,5,FALSE)+VLOOKUP($B66,계산도구!$A$2:$G$529,6,FALSE)+VLOOKUP($B66,계산도구!$A$2:$G$529,7,FALSE)</f>
        <v>628.25</v>
      </c>
      <c r="H66" s="1472"/>
      <c r="I66" s="1473"/>
      <c r="J66" s="1474" t="str">
        <f t="shared" si="2"/>
        <v>+학생부</v>
      </c>
      <c r="K66" s="1475"/>
      <c r="L66" s="1587"/>
      <c r="M66" s="150"/>
      <c r="N66" s="150"/>
      <c r="O66" s="150"/>
      <c r="P66" s="150"/>
      <c r="Q66" s="150"/>
      <c r="R66" s="150"/>
      <c r="S66" s="150"/>
    </row>
    <row r="67" spans="1:19" s="198" customFormat="1" ht="20.100000000000001" customHeight="1">
      <c r="A67" s="1589"/>
      <c r="B67" s="1466" t="s">
        <v>240</v>
      </c>
      <c r="C67" s="1467"/>
      <c r="D67" s="1468"/>
      <c r="E67" s="1469" t="str">
        <f t="shared" si="3"/>
        <v>글로벌경영</v>
      </c>
      <c r="F67" s="1470"/>
      <c r="G67" s="1471">
        <f>VLOOKUP($B67,계산도구!$A$2:$G$529,4,FALSE)+VLOOKUP($B67,계산도구!$A$2:$G$529,5,FALSE)+VLOOKUP($B67,계산도구!$A$2:$G$529,6,FALSE)+VLOOKUP($B67,계산도구!$A$2:$G$529,7,FALSE)</f>
        <v>583.1</v>
      </c>
      <c r="H67" s="1472"/>
      <c r="I67" s="1473"/>
      <c r="J67" s="1474" t="str">
        <f t="shared" si="2"/>
        <v>+학생부</v>
      </c>
      <c r="K67" s="1475"/>
      <c r="L67" s="1587"/>
    </row>
    <row r="68" spans="1:19" s="6" customFormat="1" ht="20.100000000000001" customHeight="1">
      <c r="A68" s="1589"/>
      <c r="B68" s="1466" t="s">
        <v>241</v>
      </c>
      <c r="C68" s="1467"/>
      <c r="D68" s="1468"/>
      <c r="E68" s="1469" t="str">
        <f t="shared" si="3"/>
        <v>자연</v>
      </c>
      <c r="F68" s="1470"/>
      <c r="G68" s="1471">
        <f>VLOOKUP($B68,계산도구!$A$2:$G$529,4,FALSE)+VLOOKUP($B68,계산도구!$A$2:$G$529,5,FALSE)+VLOOKUP($B68,계산도구!$A$2:$G$529,6,FALSE)+VLOOKUP($B68,계산도구!$A$2:$G$529,7,FALSE)</f>
        <v>615.64999999999986</v>
      </c>
      <c r="H68" s="1472"/>
      <c r="I68" s="1473"/>
      <c r="J68" s="1474" t="str">
        <f t="shared" si="2"/>
        <v>+학생부</v>
      </c>
      <c r="K68" s="1475"/>
      <c r="L68" s="1587"/>
      <c r="M68" s="150"/>
      <c r="N68" s="150"/>
      <c r="O68" s="150"/>
      <c r="P68" s="150"/>
      <c r="Q68" s="150"/>
      <c r="R68" s="150"/>
      <c r="S68" s="150"/>
    </row>
    <row r="69" spans="1:19" s="6" customFormat="1" ht="20.100000000000001" customHeight="1">
      <c r="A69" s="1589"/>
      <c r="B69" s="1466" t="s">
        <v>132</v>
      </c>
      <c r="C69" s="1467"/>
      <c r="D69" s="1468"/>
      <c r="E69" s="1469" t="str">
        <f t="shared" si="3"/>
        <v>가군인문계열</v>
      </c>
      <c r="F69" s="1470"/>
      <c r="G69" s="1471">
        <f>VLOOKUP($B69,계산도구!$A$2:$G$529,4,FALSE)+VLOOKUP($B69,계산도구!$A$2:$G$529,5,FALSE)+VLOOKUP($B69,계산도구!$A$2:$G$529,6,FALSE)+VLOOKUP($B69,계산도구!$A$2:$G$529,7,FALSE)</f>
        <v>761.4</v>
      </c>
      <c r="H69" s="1472"/>
      <c r="I69" s="1473"/>
      <c r="J69" s="1474" t="str">
        <f t="shared" si="2"/>
        <v>+학생부</v>
      </c>
      <c r="K69" s="1475"/>
      <c r="L69" s="1587"/>
      <c r="M69" s="150"/>
      <c r="N69" s="150"/>
      <c r="O69" s="150"/>
      <c r="P69" s="150"/>
      <c r="Q69" s="150"/>
      <c r="R69" s="150"/>
      <c r="S69" s="150"/>
    </row>
    <row r="70" spans="1:19" s="6" customFormat="1" ht="20.100000000000001" customHeight="1">
      <c r="A70" s="1589"/>
      <c r="B70" s="1466" t="s">
        <v>133</v>
      </c>
      <c r="C70" s="1467"/>
      <c r="D70" s="1468"/>
      <c r="E70" s="1469" t="str">
        <f t="shared" si="3"/>
        <v>가군경영사과</v>
      </c>
      <c r="F70" s="1470"/>
      <c r="G70" s="1471">
        <f>VLOOKUP($B70,계산도구!$A$2:$G$529,4,FALSE)+VLOOKUP($B70,계산도구!$A$2:$G$529,5,FALSE)+VLOOKUP($B70,계산도구!$A$2:$G$529,6,FALSE)+VLOOKUP($B70,계산도구!$A$2:$G$529,7,FALSE)</f>
        <v>772.2</v>
      </c>
      <c r="H70" s="1472"/>
      <c r="I70" s="1473"/>
      <c r="J70" s="1474" t="str">
        <f t="shared" si="2"/>
        <v>+학생부</v>
      </c>
      <c r="K70" s="1475"/>
      <c r="L70" s="1587"/>
      <c r="M70" s="150"/>
      <c r="N70" s="150"/>
      <c r="O70" s="150"/>
      <c r="P70" s="150"/>
      <c r="Q70" s="150"/>
      <c r="R70" s="150"/>
      <c r="S70" s="150"/>
    </row>
    <row r="71" spans="1:19" s="198" customFormat="1" ht="20.100000000000001" customHeight="1">
      <c r="A71" s="1589"/>
      <c r="B71" s="1466" t="s">
        <v>429</v>
      </c>
      <c r="C71" s="1467"/>
      <c r="D71" s="1468"/>
      <c r="E71" s="1469" t="str">
        <f t="shared" si="3"/>
        <v>가군자연</v>
      </c>
      <c r="F71" s="1470"/>
      <c r="G71" s="1471">
        <f>VLOOKUP($B71,계산도구!$A$2:$G$529,4,FALSE)+VLOOKUP($B71,계산도구!$A$2:$G$529,5,FALSE)+VLOOKUP($B71,계산도구!$A$2:$G$529,6,FALSE)+VLOOKUP($B71,계산도구!$A$2:$G$529,7,FALSE)</f>
        <v>804.6</v>
      </c>
      <c r="H71" s="1472"/>
      <c r="I71" s="1473"/>
      <c r="J71" s="1474" t="str">
        <f t="shared" si="2"/>
        <v>+학생부</v>
      </c>
      <c r="K71" s="1475"/>
      <c r="L71" s="1587"/>
    </row>
    <row r="72" spans="1:19" s="198" customFormat="1" ht="20.100000000000001" customHeight="1">
      <c r="A72" s="1589"/>
      <c r="B72" s="1466" t="s">
        <v>456</v>
      </c>
      <c r="C72" s="1467"/>
      <c r="D72" s="1468"/>
      <c r="E72" s="1469" t="str">
        <f t="shared" si="3"/>
        <v>다군인문계열</v>
      </c>
      <c r="F72" s="1470"/>
      <c r="G72" s="1471">
        <f>G69*10/9</f>
        <v>846</v>
      </c>
      <c r="H72" s="1472"/>
      <c r="I72" s="1473"/>
      <c r="J72" s="1474" t="str">
        <f t="shared" si="2"/>
        <v>수능100%</v>
      </c>
      <c r="K72" s="1475"/>
      <c r="L72" s="1587"/>
    </row>
    <row r="73" spans="1:19" s="198" customFormat="1" ht="20.100000000000001" customHeight="1">
      <c r="A73" s="1589"/>
      <c r="B73" s="1466" t="s">
        <v>457</v>
      </c>
      <c r="C73" s="1467"/>
      <c r="D73" s="1468"/>
      <c r="E73" s="1469" t="str">
        <f t="shared" si="3"/>
        <v>다군경영사과</v>
      </c>
      <c r="F73" s="1470"/>
      <c r="G73" s="1471">
        <f>G70*10/9</f>
        <v>858</v>
      </c>
      <c r="H73" s="1472"/>
      <c r="I73" s="1473"/>
      <c r="J73" s="1474" t="str">
        <f t="shared" si="2"/>
        <v>수능100%</v>
      </c>
      <c r="K73" s="1475"/>
      <c r="L73" s="1587"/>
    </row>
    <row r="74" spans="1:19" s="198" customFormat="1" ht="20.100000000000001" customHeight="1">
      <c r="A74" s="1589"/>
      <c r="B74" s="1466" t="s">
        <v>458</v>
      </c>
      <c r="C74" s="1467"/>
      <c r="D74" s="1468"/>
      <c r="E74" s="1469" t="str">
        <f t="shared" si="3"/>
        <v>다군자연</v>
      </c>
      <c r="F74" s="1470"/>
      <c r="G74" s="1471">
        <f>G71*10/9</f>
        <v>894</v>
      </c>
      <c r="H74" s="1472"/>
      <c r="I74" s="1473"/>
      <c r="J74" s="1474" t="str">
        <f t="shared" si="2"/>
        <v>수능100%</v>
      </c>
      <c r="K74" s="1475"/>
      <c r="L74" s="1587"/>
    </row>
    <row r="75" spans="1:19" s="6" customFormat="1" ht="20.100000000000001" customHeight="1">
      <c r="A75" s="1589"/>
      <c r="B75" s="1466" t="s">
        <v>134</v>
      </c>
      <c r="C75" s="1467"/>
      <c r="D75" s="1468"/>
      <c r="E75" s="1469" t="str">
        <f t="shared" si="3"/>
        <v>신학,유아</v>
      </c>
      <c r="F75" s="1470"/>
      <c r="G75" s="1471">
        <f>VLOOKUP($B75,계산도구!$A$2:$G$529,4,FALSE)+VLOOKUP($B75,계산도구!$A$2:$G$529,5,FALSE)+VLOOKUP($B75,계산도구!$A$2:$G$529,6,FALSE)+VLOOKUP($B75,계산도구!$A$2:$G$529,7,FALSE)</f>
        <v>427.5</v>
      </c>
      <c r="H75" s="1472"/>
      <c r="I75" s="1473"/>
      <c r="J75" s="1474" t="str">
        <f t="shared" si="2"/>
        <v>+학생부</v>
      </c>
      <c r="K75" s="1475"/>
      <c r="L75" s="1587"/>
      <c r="M75" s="150"/>
      <c r="N75" s="150"/>
      <c r="O75" s="150"/>
      <c r="P75" s="150"/>
      <c r="Q75" s="150"/>
      <c r="R75" s="150"/>
      <c r="S75" s="150"/>
    </row>
    <row r="76" spans="1:19" s="6" customFormat="1" ht="20.100000000000001" customHeight="1">
      <c r="A76" s="1589"/>
      <c r="B76" s="1466" t="s">
        <v>135</v>
      </c>
      <c r="C76" s="1467"/>
      <c r="D76" s="1468"/>
      <c r="E76" s="1469" t="str">
        <f t="shared" si="3"/>
        <v>경영,사회복지,상담</v>
      </c>
      <c r="F76" s="1470"/>
      <c r="G76" s="1471">
        <f>VLOOKUP($B76,계산도구!$A$2:$G$529,4,FALSE)+VLOOKUP($B76,계산도구!$A$2:$G$529,5,FALSE)+VLOOKUP($B76,계산도구!$A$2:$G$529,6,FALSE)+VLOOKUP($B76,계산도구!$A$2:$G$529,7,FALSE)</f>
        <v>435.5</v>
      </c>
      <c r="H76" s="1472"/>
      <c r="I76" s="1473"/>
      <c r="J76" s="1474" t="str">
        <f t="shared" si="2"/>
        <v>+학생부</v>
      </c>
      <c r="K76" s="1475"/>
      <c r="L76" s="1587"/>
      <c r="M76" s="150"/>
      <c r="N76" s="150"/>
      <c r="O76" s="150"/>
      <c r="P76" s="150"/>
      <c r="Q76" s="150"/>
      <c r="R76" s="150"/>
      <c r="S76" s="150"/>
    </row>
    <row r="77" spans="1:19" s="6" customFormat="1" ht="20.100000000000001" customHeight="1">
      <c r="A77" s="1589"/>
      <c r="B77" s="1466" t="s">
        <v>136</v>
      </c>
      <c r="C77" s="1467"/>
      <c r="D77" s="1468"/>
      <c r="E77" s="1469" t="str">
        <f t="shared" si="3"/>
        <v>가군영미어문</v>
      </c>
      <c r="F77" s="1470"/>
      <c r="G77" s="1471">
        <f>VLOOKUP($B77,계산도구!$A$2:$G$529,4,FALSE)+VLOOKUP($B77,계산도구!$A$2:$G$529,5,FALSE)+VLOOKUP($B77,계산도구!$A$2:$G$529,6,FALSE)+VLOOKUP($B77,계산도구!$A$2:$G$529,7,FALSE)</f>
        <v>403</v>
      </c>
      <c r="H77" s="1472"/>
      <c r="I77" s="1473"/>
      <c r="J77" s="1474" t="str">
        <f t="shared" si="2"/>
        <v>+학생부</v>
      </c>
      <c r="K77" s="1475"/>
      <c r="L77" s="1587"/>
      <c r="M77" s="150"/>
      <c r="N77" s="150"/>
      <c r="O77" s="150"/>
      <c r="P77" s="150"/>
      <c r="Q77" s="150"/>
      <c r="R77" s="150"/>
      <c r="S77" s="150"/>
    </row>
    <row r="78" spans="1:19" s="198" customFormat="1" ht="20.100000000000001" customHeight="1">
      <c r="A78" s="1589"/>
      <c r="B78" s="1466" t="s">
        <v>223</v>
      </c>
      <c r="C78" s="1467"/>
      <c r="D78" s="1468"/>
      <c r="E78" s="1469" t="str">
        <f t="shared" si="3"/>
        <v>중어,일어</v>
      </c>
      <c r="F78" s="1470"/>
      <c r="G78" s="1471">
        <f>VLOOKUP($B78,계산도구!$A$2:$G$529,4,FALSE)+VLOOKUP($B78,계산도구!$A$2:$G$529,5,FALSE)+VLOOKUP($B78,계산도구!$A$2:$G$529,6,FALSE)+VLOOKUP($B78,계산도구!$A$2:$G$529,7,FALSE)</f>
        <v>412.5</v>
      </c>
      <c r="H78" s="1472"/>
      <c r="I78" s="1473"/>
      <c r="J78" s="1474" t="str">
        <f t="shared" ref="J78:J108" si="4">IF(OR(B78="덕성여대1",B78="덕성여대2",B78="가톨릭대1",B78="가톨릭대2",B78="가톨릭대3"),G78*10/7,IF(OR(B78="상명대1",B78="상명대2"),G78*10/9,IF(OR(B78="한양대1",B78="중앙대3",B78="중앙대4",B78="건국대1",B78="동국대3",B78="동국대4",B78="홍익대3",B78="홍익대4",B78="숙명여대3",B78="숙명여대4",B78="국민대3",B78="국민대4",B78="단국대4",B78="단국대5",B78="단국대6",B78="아주대3",B78="아주대4",B78="한성대4",B78="한성대5",B78="한성대6",B78="가톨릭4",B78="가톨릭5",B78="가톨릭6",B78="성신여대4",B78="성신여대5",B78="성신여대6",B78="서울여대2",B78="서울여대3",B78="경원대1",B78="경원대2",B78="성균관대1"),"수능100%","+학생부")))</f>
        <v>+학생부</v>
      </c>
      <c r="K78" s="1475"/>
      <c r="L78" s="1587"/>
    </row>
    <row r="79" spans="1:19" s="198" customFormat="1" ht="20.100000000000001" customHeight="1">
      <c r="A79" s="1589"/>
      <c r="B79" s="1466" t="s">
        <v>449</v>
      </c>
      <c r="C79" s="1467"/>
      <c r="D79" s="1468"/>
      <c r="E79" s="1469" t="str">
        <f t="shared" si="3"/>
        <v>가군이과전체</v>
      </c>
      <c r="F79" s="1470"/>
      <c r="G79" s="1471">
        <f>VLOOKUP($B79,계산도구!$A$2:$G$529,4,FALSE)+VLOOKUP($B79,계산도구!$A$2:$G$529,5,FALSE)+VLOOKUP($B79,계산도구!$A$2:$G$529,6,FALSE)+VLOOKUP($B79,계산도구!$A$2:$G$529,7,FALSE)</f>
        <v>435.5</v>
      </c>
      <c r="H79" s="1472"/>
      <c r="I79" s="1473"/>
      <c r="J79" s="1474" t="str">
        <f t="shared" si="4"/>
        <v>+학생부</v>
      </c>
      <c r="K79" s="1475"/>
      <c r="L79" s="1587"/>
    </row>
    <row r="80" spans="1:19" s="198" customFormat="1" ht="20.100000000000001" customHeight="1">
      <c r="A80" s="1589"/>
      <c r="B80" s="1466" t="s">
        <v>459</v>
      </c>
      <c r="C80" s="1467"/>
      <c r="D80" s="1468"/>
      <c r="E80" s="1469" t="str">
        <f t="shared" ref="E80:E94" si="5">IF(OR(B80="단국대4",B80="건국대1",B80="동국대1",B80="중앙대3"),"나군전체",IF(OR(B80="한양대1"),"가군우선,나군전체",IF(OR(B80="성균관대1"),"가군우선,나군우선",IF(OR(B80="숭실대2",B80="서강대2"),"경영",IF(OR(B80="이화여대2",B80="세종대1",B80="명지대1"),"인문과학",IF(B80="이화여대3","간호,식품,보건",IF(B80="중앙대2","가군공공인재",IF(B80="중앙대4","나군공공인재",IF(B80="경희대2","국문,사학,철학,영어",IF(B80="경희대3","지리,식품,간호",IF(B80="동국대4","가군컴퓨터공,가정교육",IF(B80="동국대2","나군컴퓨터공,가정교육",IF(B80="홍익대2","가군자유전공",IF(OR(B80="건국대",B80="홍익대3",B80="국민대3",B80="단국대1"),"다군전체",IF(B80="홍익대4","다군자유전공",IF(B80="숙명여대2","가)경영",IF(B80="숙명여대3","나,다)인문,의류,식품등",IF(B80="숙명여대4","나)경영",IF(B80="숙명여대1","가)인문,의류,식품등",IF(OR(B80="한양대",B80="국민대1",B80="홍익대1",B80="서울여대1",B80="동국대3",B80="중앙대1"),"가군전체",IF(B80="국민대2","가군건축",IF(B80="국민대4","다군건축",IF(B80="숭실대3","자연,공대,IT일부",IF(B80="세종대2","인문제외문과",IF(OR(B80="세종대3",B80="명지대2",B80="서경대4",B80="덕성여대2"),"자연",IF(B80="단국대2","다군상경",IF(B80="단국대3","다군정보통계,건축",IF(B80="단국대5","나군상경",IF(B80="단국대6","나군정보통계,건축",IF(B80="아주대1","가)경영계,e비즈,자연2",IF(B80="아주대2","가)인문,사과,자전",IF(B80="아주대3","가우선,다)경영계,e비즈,자연2",IF(B80="아주대4","가우선,다)인문,사과,자전",IF(B80="서경대2","군사",IF(B80="서경대3","글로벌경영",IF(B80="한성대1","가군인문계열",IF(B80="한성대2","가군경영사과",IF(B80="한성대3","가군자연",IF(B80="한성대4","다군인문계열",IF(B80="한성대5","다군경영사과",IF(B80="한성대6","다군자연",IF(B80="삼육대1","신학,유아",IF(B80="삼육대2","경영,사회복지,상담",IF(B80="삼육대3","가군영미어문",IF(B80="삼육대4","중어,일어",IF(B80="삼육대5","가군이과전체",IF(B80="삼육대6","다군영미어문",IF(B80="삼육대7","다군이과전체",IF(B80="광운대1","법학계",IF(B80="광운대2","경영계",IF(B80="광운대3","국문",IF(B80="광운대4","영어,동북,국제,행정,미디",IF(B80="광운대5","건축,공대전체",IF(B80="상명대2","의류,외식,소비자주거",IF(B80="가톨릭2","디지털미디어",IF(B80="가톨릭3","간호",IF(B80="가톨릭4","전체 가군우선,다군",IF(B80="가톨릭5","미디어 가군우선,다군",IF(B80="가톨릭6","간호 가군우선,나군",IF(B80="성신여대2","경제,자연",IF(B80="성신여대3","간호",IF(B80="동덕여대","인문,자연전체",IF(B80="서울여대2","다-인문계열전체",IF(B80="서울여대3","다-경상계,자연일부",IF(B80="경원대2","간호포함자연","전체")))))))))))))))))))))))))))))))))))))))))))))))))))))))))))))))))</f>
        <v>다군영미어문</v>
      </c>
      <c r="F80" s="1470"/>
      <c r="G80" s="1471">
        <f>G77*8/5</f>
        <v>644.79999999999995</v>
      </c>
      <c r="H80" s="1472"/>
      <c r="I80" s="1473"/>
      <c r="J80" s="1474" t="str">
        <f t="shared" si="4"/>
        <v>+학생부</v>
      </c>
      <c r="K80" s="1475"/>
      <c r="L80" s="1587"/>
    </row>
    <row r="81" spans="1:19" s="198" customFormat="1" ht="20.100000000000001" customHeight="1">
      <c r="A81" s="1589"/>
      <c r="B81" s="1466" t="s">
        <v>460</v>
      </c>
      <c r="C81" s="1467"/>
      <c r="D81" s="1468"/>
      <c r="E81" s="1469" t="str">
        <f t="shared" si="5"/>
        <v>다군이과전체</v>
      </c>
      <c r="F81" s="1470"/>
      <c r="G81" s="1471">
        <f>G78*8/5</f>
        <v>660</v>
      </c>
      <c r="H81" s="1472"/>
      <c r="I81" s="1473"/>
      <c r="J81" s="1474" t="str">
        <f t="shared" si="4"/>
        <v>+학생부</v>
      </c>
      <c r="K81" s="1475"/>
      <c r="L81" s="1587"/>
    </row>
    <row r="82" spans="1:19" s="6" customFormat="1" ht="20.100000000000001" customHeight="1">
      <c r="A82" s="1589"/>
      <c r="B82" s="1466" t="s">
        <v>137</v>
      </c>
      <c r="C82" s="1467"/>
      <c r="D82" s="1468"/>
      <c r="E82" s="1469" t="str">
        <f t="shared" si="5"/>
        <v>법학계</v>
      </c>
      <c r="F82" s="1470"/>
      <c r="G82" s="1471">
        <f>VLOOKUP($B82,계산도구!$A$2:$G$529,4,FALSE)+VLOOKUP($B82,계산도구!$A$2:$G$529,5,FALSE)+VLOOKUP($B82,계산도구!$A$2:$G$529,6,FALSE)+VLOOKUP($B82,계산도구!$A$2:$G$529,7,FALSE)</f>
        <v>498.8</v>
      </c>
      <c r="H82" s="1472"/>
      <c r="I82" s="1473"/>
      <c r="J82" s="1474" t="str">
        <f t="shared" si="4"/>
        <v>+학생부</v>
      </c>
      <c r="K82" s="1475"/>
      <c r="L82" s="1587"/>
      <c r="M82" s="150"/>
      <c r="N82" s="150"/>
      <c r="O82" s="150"/>
      <c r="P82" s="150"/>
      <c r="Q82" s="150"/>
      <c r="R82" s="150"/>
      <c r="S82" s="150"/>
    </row>
    <row r="83" spans="1:19" s="6" customFormat="1" ht="20.100000000000001" customHeight="1">
      <c r="A83" s="1589"/>
      <c r="B83" s="1466" t="s">
        <v>138</v>
      </c>
      <c r="C83" s="1467"/>
      <c r="D83" s="1468"/>
      <c r="E83" s="1469" t="str">
        <f t="shared" si="5"/>
        <v>경영계</v>
      </c>
      <c r="F83" s="1470"/>
      <c r="G83" s="1471">
        <f>VLOOKUP($B83,계산도구!$A$2:$G$529,4,FALSE)+VLOOKUP($B83,계산도구!$A$2:$G$529,5,FALSE)+VLOOKUP($B83,계산도구!$A$2:$G$529,6,FALSE)+VLOOKUP($B83,계산도구!$A$2:$G$529,7,FALSE)</f>
        <v>508.4</v>
      </c>
      <c r="H83" s="1472"/>
      <c r="I83" s="1473"/>
      <c r="J83" s="1474" t="str">
        <f t="shared" si="4"/>
        <v>+학생부</v>
      </c>
      <c r="K83" s="1475"/>
      <c r="L83" s="1587"/>
      <c r="M83" s="150"/>
      <c r="N83" s="150"/>
      <c r="O83" s="150"/>
      <c r="P83" s="150"/>
      <c r="Q83" s="150"/>
      <c r="R83" s="150"/>
      <c r="S83" s="150"/>
    </row>
    <row r="84" spans="1:19" s="6" customFormat="1" ht="20.100000000000001" customHeight="1">
      <c r="A84" s="1589"/>
      <c r="B84" s="1466" t="s">
        <v>139</v>
      </c>
      <c r="C84" s="1467"/>
      <c r="D84" s="1468"/>
      <c r="E84" s="1469" t="str">
        <f t="shared" si="5"/>
        <v>국문</v>
      </c>
      <c r="F84" s="1470"/>
      <c r="G84" s="1471">
        <f>VLOOKUP($B84,계산도구!$A$2:$G$529,4,FALSE)+VLOOKUP($B84,계산도구!$A$2:$G$529,5,FALSE)+VLOOKUP($B84,계산도구!$A$2:$G$529,6,FALSE)+VLOOKUP($B84,계산도구!$A$2:$G$529,7,FALSE)</f>
        <v>510.4</v>
      </c>
      <c r="H84" s="1472"/>
      <c r="I84" s="1473"/>
      <c r="J84" s="1474" t="str">
        <f t="shared" si="4"/>
        <v>+학생부</v>
      </c>
      <c r="K84" s="1475"/>
      <c r="L84" s="1587"/>
      <c r="M84" s="150"/>
      <c r="N84" s="150"/>
      <c r="O84" s="150"/>
      <c r="P84" s="150"/>
      <c r="Q84" s="150"/>
      <c r="R84" s="150"/>
      <c r="S84" s="150"/>
    </row>
    <row r="85" spans="1:19" s="6" customFormat="1" ht="20.100000000000001" customHeight="1">
      <c r="A85" s="1589"/>
      <c r="B85" s="1466" t="s">
        <v>140</v>
      </c>
      <c r="C85" s="1467"/>
      <c r="D85" s="1468"/>
      <c r="E85" s="1469" t="str">
        <f t="shared" si="5"/>
        <v>영어,동북,국제,행정,미디</v>
      </c>
      <c r="F85" s="1470"/>
      <c r="G85" s="1471">
        <f>VLOOKUP($B85,계산도구!$A$2:$G$529,4,FALSE)+VLOOKUP($B85,계산도구!$A$2:$G$529,5,FALSE)+VLOOKUP($B85,계산도구!$A$2:$G$529,6,FALSE)+VLOOKUP($B85,계산도구!$A$2:$G$529,7,FALSE)</f>
        <v>506.4</v>
      </c>
      <c r="H85" s="1472"/>
      <c r="I85" s="1473"/>
      <c r="J85" s="1474" t="str">
        <f t="shared" si="4"/>
        <v>+학생부</v>
      </c>
      <c r="K85" s="1475"/>
      <c r="L85" s="1587"/>
      <c r="M85" s="150"/>
      <c r="N85" s="150"/>
      <c r="O85" s="150"/>
      <c r="P85" s="150"/>
      <c r="Q85" s="150"/>
      <c r="R85" s="150"/>
      <c r="S85" s="150"/>
    </row>
    <row r="86" spans="1:19" s="6" customFormat="1" ht="20.100000000000001" customHeight="1">
      <c r="A86" s="1589"/>
      <c r="B86" s="1466" t="s">
        <v>141</v>
      </c>
      <c r="C86" s="1467"/>
      <c r="D86" s="1468"/>
      <c r="E86" s="1469" t="str">
        <f t="shared" si="5"/>
        <v>건축,공대전체</v>
      </c>
      <c r="F86" s="1470"/>
      <c r="G86" s="1471">
        <f>VLOOKUP($B86,계산도구!$A$2:$G$529,4,FALSE)+VLOOKUP($B86,계산도구!$A$2:$G$529,5,FALSE)+VLOOKUP($B86,계산도구!$A$2:$G$529,6,FALSE)+VLOOKUP($B86,계산도구!$A$2:$G$529,7,FALSE)</f>
        <v>517.6</v>
      </c>
      <c r="H86" s="1472"/>
      <c r="I86" s="1473"/>
      <c r="J86" s="1474" t="str">
        <f t="shared" si="4"/>
        <v>+학생부</v>
      </c>
      <c r="K86" s="1475"/>
      <c r="L86" s="1587"/>
      <c r="M86" s="150"/>
      <c r="N86" s="150"/>
      <c r="O86" s="150"/>
      <c r="P86" s="150"/>
      <c r="Q86" s="150"/>
      <c r="R86" s="150"/>
      <c r="S86" s="150"/>
    </row>
    <row r="87" spans="1:19" s="6" customFormat="1" ht="20.100000000000001" customHeight="1">
      <c r="A87" s="1589"/>
      <c r="B87" s="1466" t="s">
        <v>244</v>
      </c>
      <c r="C87" s="1467"/>
      <c r="D87" s="1468"/>
      <c r="E87" s="1469" t="str">
        <f t="shared" si="5"/>
        <v>전체</v>
      </c>
      <c r="F87" s="1470"/>
      <c r="G87" s="1471">
        <f>VLOOKUP($B87,계산도구!$A$2:$G$529,4,FALSE)+VLOOKUP($B87,계산도구!$A$2:$G$529,5,FALSE)+VLOOKUP($B87,계산도구!$A$2:$G$529,6,FALSE)+VLOOKUP($B87,계산도구!$A$2:$G$529,7,FALSE)</f>
        <v>569.70000000000005</v>
      </c>
      <c r="H87" s="1472"/>
      <c r="I87" s="1473"/>
      <c r="J87" s="1474">
        <f t="shared" si="4"/>
        <v>633</v>
      </c>
      <c r="K87" s="1475"/>
      <c r="L87" s="1587"/>
      <c r="M87" s="150"/>
      <c r="N87" s="150"/>
      <c r="O87" s="150"/>
      <c r="P87" s="150"/>
      <c r="Q87" s="150"/>
      <c r="R87" s="150"/>
      <c r="S87" s="150"/>
    </row>
    <row r="88" spans="1:19" s="198" customFormat="1" ht="20.100000000000001" customHeight="1">
      <c r="A88" s="1589"/>
      <c r="B88" s="1466" t="s">
        <v>245</v>
      </c>
      <c r="C88" s="1467"/>
      <c r="D88" s="1468"/>
      <c r="E88" s="1469" t="str">
        <f t="shared" si="5"/>
        <v>의류,외식,소비자주거</v>
      </c>
      <c r="F88" s="1470"/>
      <c r="G88" s="1471">
        <f>VLOOKUP($B88,계산도구!$A$2:$G$529,4,FALSE)+VLOOKUP($B88,계산도구!$A$2:$G$529,5,FALSE)+VLOOKUP($B88,계산도구!$A$2:$G$529,6,FALSE)+VLOOKUP($B88,계산도구!$A$2:$G$529,7,FALSE)</f>
        <v>572.85</v>
      </c>
      <c r="H88" s="1472"/>
      <c r="I88" s="1473"/>
      <c r="J88" s="1474">
        <f t="shared" si="4"/>
        <v>636.5</v>
      </c>
      <c r="K88" s="1475"/>
      <c r="L88" s="1587"/>
    </row>
    <row r="89" spans="1:19" s="168" customFormat="1" ht="20.100000000000001" customHeight="1">
      <c r="A89" s="1589"/>
      <c r="B89" s="1466" t="s">
        <v>142</v>
      </c>
      <c r="C89" s="1467"/>
      <c r="D89" s="1468"/>
      <c r="E89" s="1469" t="str">
        <f t="shared" si="5"/>
        <v>전체</v>
      </c>
      <c r="F89" s="1470"/>
      <c r="G89" s="1471">
        <f>VLOOKUP($B89,계산도구!$A$2:$G$529,4,FALSE)+VLOOKUP($B89,계산도구!$A$2:$G$529,5,FALSE)+VLOOKUP($B89,계산도구!$A$2:$G$529,6,FALSE)+VLOOKUP($B89,계산도구!$A$2:$G$529,7,FALSE)</f>
        <v>626.19568133438315</v>
      </c>
      <c r="H89" s="1472"/>
      <c r="I89" s="1473"/>
      <c r="J89" s="1474" t="str">
        <f t="shared" si="4"/>
        <v>+학생부</v>
      </c>
      <c r="K89" s="1475"/>
      <c r="L89" s="1587"/>
    </row>
    <row r="90" spans="1:19" s="198" customFormat="1" ht="20.100000000000001" customHeight="1">
      <c r="A90" s="1589"/>
      <c r="B90" s="1466" t="s">
        <v>290</v>
      </c>
      <c r="C90" s="1467"/>
      <c r="D90" s="1468"/>
      <c r="E90" s="1469" t="str">
        <f t="shared" si="5"/>
        <v>디지털미디어</v>
      </c>
      <c r="F90" s="1470"/>
      <c r="G90" s="1471">
        <f>VLOOKUP($B90,계산도구!$A$2:$G$529,4,FALSE)+VLOOKUP($B90,계산도구!$A$2:$G$529,5,FALSE)+VLOOKUP($B90,계산도구!$A$2:$G$529,6,FALSE)+VLOOKUP($B90,계산도구!$A$2:$G$529,7,FALSE)</f>
        <v>645.19635202519464</v>
      </c>
      <c r="H90" s="1472"/>
      <c r="I90" s="1473"/>
      <c r="J90" s="1474" t="str">
        <f t="shared" si="4"/>
        <v>+학생부</v>
      </c>
      <c r="K90" s="1475"/>
      <c r="L90" s="1587"/>
    </row>
    <row r="91" spans="1:19" s="6" customFormat="1" ht="20.100000000000001" customHeight="1">
      <c r="A91" s="1589"/>
      <c r="B91" s="1466" t="s">
        <v>143</v>
      </c>
      <c r="C91" s="1467"/>
      <c r="D91" s="1468"/>
      <c r="E91" s="1469" t="str">
        <f t="shared" si="5"/>
        <v>간호</v>
      </c>
      <c r="F91" s="1470"/>
      <c r="G91" s="1471">
        <f>VLOOKUP($B91,계산도구!$A$2:$G$529,4,FALSE)+VLOOKUP($B91,계산도구!$A$2:$G$529,5,FALSE)+VLOOKUP($B91,계산도구!$A$2:$G$529,6,FALSE)+VLOOKUP($B91,계산도구!$A$2:$G$529,7,FALSE)</f>
        <v>623.62011197620507</v>
      </c>
      <c r="H91" s="1472"/>
      <c r="I91" s="1473"/>
      <c r="J91" s="1474" t="str">
        <f t="shared" si="4"/>
        <v>+학생부</v>
      </c>
      <c r="K91" s="1475"/>
      <c r="L91" s="1587"/>
      <c r="M91" s="150"/>
      <c r="N91" s="150"/>
      <c r="O91" s="150"/>
      <c r="P91" s="150"/>
      <c r="Q91" s="150"/>
      <c r="R91" s="150"/>
      <c r="S91" s="150"/>
    </row>
    <row r="92" spans="1:19" s="198" customFormat="1" ht="20.100000000000001" customHeight="1">
      <c r="A92" s="1589"/>
      <c r="B92" s="1466" t="s">
        <v>464</v>
      </c>
      <c r="C92" s="1467"/>
      <c r="D92" s="1468"/>
      <c r="E92" s="1495" t="str">
        <f t="shared" si="5"/>
        <v>전체 가군우선,다군</v>
      </c>
      <c r="F92" s="1496"/>
      <c r="G92" s="1471">
        <f>G89*10/7</f>
        <v>894.56525904911882</v>
      </c>
      <c r="H92" s="1472"/>
      <c r="I92" s="1473"/>
      <c r="J92" s="1474" t="str">
        <f t="shared" si="4"/>
        <v>수능100%</v>
      </c>
      <c r="K92" s="1475"/>
      <c r="L92" s="1587"/>
    </row>
    <row r="93" spans="1:19" s="198" customFormat="1" ht="20.100000000000001" customHeight="1">
      <c r="A93" s="1589"/>
      <c r="B93" s="1466" t="s">
        <v>465</v>
      </c>
      <c r="C93" s="1467"/>
      <c r="D93" s="1468"/>
      <c r="E93" s="1495" t="str">
        <f t="shared" si="5"/>
        <v>미디어 가군우선,다군</v>
      </c>
      <c r="F93" s="1496"/>
      <c r="G93" s="1471">
        <f>G90*10/7</f>
        <v>921.70907432170668</v>
      </c>
      <c r="H93" s="1472"/>
      <c r="I93" s="1473"/>
      <c r="J93" s="1474" t="str">
        <f t="shared" si="4"/>
        <v>수능100%</v>
      </c>
      <c r="K93" s="1475"/>
      <c r="L93" s="1587"/>
    </row>
    <row r="94" spans="1:19" s="198" customFormat="1" ht="20.100000000000001" customHeight="1">
      <c r="A94" s="1589"/>
      <c r="B94" s="1466" t="s">
        <v>466</v>
      </c>
      <c r="C94" s="1467"/>
      <c r="D94" s="1468"/>
      <c r="E94" s="1495" t="str">
        <f t="shared" si="5"/>
        <v>간호 가군우선,나군</v>
      </c>
      <c r="F94" s="1496"/>
      <c r="G94" s="1471">
        <f>G91*10/7</f>
        <v>890.88587425172148</v>
      </c>
      <c r="H94" s="1472"/>
      <c r="I94" s="1473"/>
      <c r="J94" s="1474" t="str">
        <f t="shared" si="4"/>
        <v>수능100%</v>
      </c>
      <c r="K94" s="1475"/>
      <c r="L94" s="1587"/>
    </row>
    <row r="95" spans="1:19" s="198" customFormat="1" ht="20.100000000000001" customHeight="1">
      <c r="A95" s="1589"/>
      <c r="B95" s="1466" t="s">
        <v>144</v>
      </c>
      <c r="C95" s="1467"/>
      <c r="D95" s="1468"/>
      <c r="E95" s="1497" t="s">
        <v>474</v>
      </c>
      <c r="F95" s="1498"/>
      <c r="G95" s="1471">
        <f>VLOOKUP($B95,계산도구!$A$2:$G$529,4,FALSE)+VLOOKUP($B95,계산도구!$A$2:$G$529,5,FALSE)+VLOOKUP($B95,계산도구!$A$2:$G$529,6,FALSE)+VLOOKUP($B95,계산도구!$A$2:$G$529,7,FALSE)</f>
        <v>299.25</v>
      </c>
      <c r="H95" s="1472"/>
      <c r="I95" s="1473"/>
      <c r="J95" s="1474" t="str">
        <f t="shared" si="4"/>
        <v>+학생부</v>
      </c>
      <c r="K95" s="1475"/>
      <c r="L95" s="1587"/>
    </row>
    <row r="96" spans="1:19" s="198" customFormat="1" ht="20.100000000000001" customHeight="1">
      <c r="A96" s="1589"/>
      <c r="B96" s="1466" t="s">
        <v>297</v>
      </c>
      <c r="C96" s="1467"/>
      <c r="D96" s="1468"/>
      <c r="E96" s="1497" t="s">
        <v>472</v>
      </c>
      <c r="F96" s="1498"/>
      <c r="G96" s="1471">
        <f>VLOOKUP($B96,계산도구!$A$2:$G$529,4,FALSE)+VLOOKUP($B96,계산도구!$A$2:$G$529,5,FALSE)+VLOOKUP($B96,계산도구!$A$2:$G$529,6,FALSE)+VLOOKUP($B96,계산도구!$A$2:$G$529,7,FALSE)</f>
        <v>304.85000000000002</v>
      </c>
      <c r="H96" s="1472"/>
      <c r="I96" s="1473"/>
      <c r="J96" s="1474" t="str">
        <f t="shared" si="4"/>
        <v>+학생부</v>
      </c>
      <c r="K96" s="1475"/>
      <c r="L96" s="1587"/>
    </row>
    <row r="97" spans="1:12" s="198" customFormat="1" ht="20.100000000000001" customHeight="1">
      <c r="A97" s="1589"/>
      <c r="B97" s="1466" t="s">
        <v>298</v>
      </c>
      <c r="C97" s="1467"/>
      <c r="D97" s="1468"/>
      <c r="E97" s="1497" t="s">
        <v>473</v>
      </c>
      <c r="F97" s="1498"/>
      <c r="G97" s="1471">
        <f>VLOOKUP($B97,계산도구!$A$2:$G$529,4,FALSE)+VLOOKUP($B97,계산도구!$A$2:$G$529,5,FALSE)+VLOOKUP($B97,계산도구!$A$2:$G$529,6,FALSE)+VLOOKUP($B97,계산도구!$A$2:$G$529,7,FALSE)</f>
        <v>304.85000000000002</v>
      </c>
      <c r="H97" s="1472"/>
      <c r="I97" s="1473"/>
      <c r="J97" s="1474" t="str">
        <f t="shared" si="4"/>
        <v>+학생부</v>
      </c>
      <c r="K97" s="1475"/>
      <c r="L97" s="1587"/>
    </row>
    <row r="98" spans="1:12" s="198" customFormat="1" ht="20.100000000000001" customHeight="1">
      <c r="A98" s="1589"/>
      <c r="B98" s="1466" t="s">
        <v>467</v>
      </c>
      <c r="C98" s="1467"/>
      <c r="D98" s="1468"/>
      <c r="E98" s="1497" t="s">
        <v>475</v>
      </c>
      <c r="F98" s="1498"/>
      <c r="G98" s="1471">
        <f>G95*50/35</f>
        <v>427.5</v>
      </c>
      <c r="H98" s="1472"/>
      <c r="I98" s="1473"/>
      <c r="J98" s="1474" t="str">
        <f t="shared" si="4"/>
        <v>수능100%</v>
      </c>
      <c r="K98" s="1475"/>
      <c r="L98" s="1587"/>
    </row>
    <row r="99" spans="1:12" s="198" customFormat="1" ht="20.100000000000001" customHeight="1">
      <c r="A99" s="1589"/>
      <c r="B99" s="1466" t="s">
        <v>468</v>
      </c>
      <c r="C99" s="1467"/>
      <c r="D99" s="1468"/>
      <c r="E99" s="1497" t="s">
        <v>470</v>
      </c>
      <c r="F99" s="1498"/>
      <c r="G99" s="1471">
        <f>G96*50/35</f>
        <v>435.50000000000006</v>
      </c>
      <c r="H99" s="1472"/>
      <c r="I99" s="1473"/>
      <c r="J99" s="1474" t="str">
        <f t="shared" si="4"/>
        <v>수능100%</v>
      </c>
      <c r="K99" s="1475"/>
      <c r="L99" s="1587"/>
    </row>
    <row r="100" spans="1:12" s="198" customFormat="1" ht="20.100000000000001" customHeight="1">
      <c r="A100" s="1589"/>
      <c r="B100" s="1466" t="s">
        <v>469</v>
      </c>
      <c r="C100" s="1467"/>
      <c r="D100" s="1468"/>
      <c r="E100" s="1497" t="s">
        <v>471</v>
      </c>
      <c r="F100" s="1498"/>
      <c r="G100" s="1471">
        <f>G97*50/35</f>
        <v>435.50000000000006</v>
      </c>
      <c r="H100" s="1472"/>
      <c r="I100" s="1473"/>
      <c r="J100" s="1474" t="str">
        <f t="shared" si="4"/>
        <v>수능100%</v>
      </c>
      <c r="K100" s="1475"/>
      <c r="L100" s="1587"/>
    </row>
    <row r="101" spans="1:12" s="198" customFormat="1" ht="20.100000000000001" customHeight="1">
      <c r="A101" s="1589"/>
      <c r="B101" s="1466" t="s">
        <v>305</v>
      </c>
      <c r="C101" s="1467"/>
      <c r="D101" s="1468"/>
      <c r="E101" s="1469" t="str">
        <f t="shared" ref="E101:E108" si="6">IF(OR(B101="단국대4",B101="건국대1",B101="동국대1",B101="중앙대3"),"나군전체",IF(OR(B101="한양대1"),"가군우선,나군전체",IF(OR(B101="성균관대1"),"가군우선,나군우선",IF(OR(B101="숭실대2",B101="서강대2"),"경영",IF(OR(B101="이화여대2",B101="세종대1",B101="명지대1"),"인문과학",IF(B101="이화여대3","간호,식품,보건",IF(B101="중앙대2","가군공공인재",IF(B101="중앙대4","나군공공인재",IF(B101="경희대2","국문,사학,철학,영어",IF(B101="경희대3","지리,식품,간호",IF(B101="동국대4","가군컴퓨터공,가정교육",IF(B101="동국대2","나군컴퓨터공,가정교육",IF(B101="홍익대2","가군자유전공",IF(OR(B101="건국대",B101="홍익대3",B101="국민대3",B101="단국대1"),"다군전체",IF(B101="홍익대4","다군자유전공",IF(B101="숙명여대2","가)경영",IF(B101="숙명여대3","나,다)인문,의류,식품등",IF(B101="숙명여대4","나)경영",IF(B101="숙명여대1","가)인문,의류,식품등",IF(OR(B101="한양대",B101="국민대1",B101="홍익대1",B101="서울여대1",B101="동국대3",B101="중앙대1"),"가군전체",IF(B101="국민대2","가군건축",IF(B101="국민대4","다군건축",IF(B101="숭실대3","자연,공대,IT일부",IF(B101="세종대2","인문제외문과",IF(OR(B101="세종대3",B101="명지대2",B101="서경대4",B101="덕성여대2"),"자연",IF(B101="단국대2","다군상경",IF(B101="단국대3","다군정보통계,건축",IF(B101="단국대5","나군상경",IF(B101="단국대6","나군정보통계,건축",IF(B101="아주대1","가)경영계,e비즈,자연2",IF(B101="아주대2","가)인문,사과,자전",IF(B101="아주대3","가우선,다)경영계,e비즈,자연2",IF(B101="아주대4","가우선,다)인문,사과,자전",IF(B101="서경대2","군사",IF(B101="서경대3","글로벌경영",IF(B101="한성대1","가군인문계열",IF(B101="한성대2","가군경영사과",IF(B101="한성대3","가군자연",IF(B101="한성대4","다군인문계열",IF(B101="한성대5","다군경영사과",IF(B101="한성대6","다군자연",IF(B101="삼육대1","신학,유아",IF(B101="삼육대2","경영,사회복지,상담",IF(B101="삼육대3","가군영미어문",IF(B101="삼육대4","중어,일어",IF(B101="삼육대5","가군이과전체",IF(B101="삼육대6","다군영미어문",IF(B101="삼육대7","다군이과전체",IF(B101="광운대1","법학계",IF(B101="광운대2","경영계",IF(B101="광운대3","국문",IF(B101="광운대4","영어,동북,국제,행정,미디",IF(B101="광운대5","건축,공대전체",IF(B101="상명대2","의류,외식,소비자주거",IF(B101="가톨릭2","디지털미디어",IF(B101="가톨릭3","간호",IF(B101="가톨릭4","전체 가군우선,다군",IF(B101="가톨릭5","미디어 가군우선,다군",IF(B101="가톨릭6","간호 가군우선,나군",IF(B101="성신여대2","경제,자연",IF(B101="성신여대3","간호",IF(B101="동덕여대","인문,자연전체",IF(B101="서울여대2","다-인문계열전체",IF(B101="서울여대3","다-경상계,자연일부",IF(B101="경원대2","간호포함자연","전체")))))))))))))))))))))))))))))))))))))))))))))))))))))))))))))))))</f>
        <v>전체</v>
      </c>
      <c r="F101" s="1470"/>
      <c r="G101" s="1471">
        <f>VLOOKUP($B101,계산도구!$A$2:$G$529,4,FALSE)+VLOOKUP($B101,계산도구!$A$2:$G$529,5,FALSE)+VLOOKUP($B101,계산도구!$A$2:$G$529,6,FALSE)+VLOOKUP($B101,계산도구!$A$2:$G$529,7,FALSE)</f>
        <v>598.5</v>
      </c>
      <c r="H101" s="1472"/>
      <c r="I101" s="1473"/>
      <c r="J101" s="1474">
        <f t="shared" si="4"/>
        <v>855</v>
      </c>
      <c r="K101" s="1475"/>
      <c r="L101" s="1587"/>
    </row>
    <row r="102" spans="1:12" s="198" customFormat="1" ht="20.100000000000001" customHeight="1">
      <c r="A102" s="1589"/>
      <c r="B102" s="1466" t="s">
        <v>306</v>
      </c>
      <c r="C102" s="1467"/>
      <c r="D102" s="1468"/>
      <c r="E102" s="1469" t="str">
        <f t="shared" si="6"/>
        <v>자연</v>
      </c>
      <c r="F102" s="1470"/>
      <c r="G102" s="1471">
        <f>VLOOKUP($B102,계산도구!$A$2:$G$529,4,FALSE)+VLOOKUP($B102,계산도구!$A$2:$G$529,5,FALSE)+VLOOKUP($B102,계산도구!$A$2:$G$529,6,FALSE)+VLOOKUP($B102,계산도구!$A$2:$G$529,7,FALSE)</f>
        <v>609.70000000000005</v>
      </c>
      <c r="H102" s="1472"/>
      <c r="I102" s="1473"/>
      <c r="J102" s="1474">
        <f t="shared" si="4"/>
        <v>871</v>
      </c>
      <c r="K102" s="1475"/>
      <c r="L102" s="1587"/>
    </row>
    <row r="103" spans="1:12" s="198" customFormat="1" ht="20.100000000000001" customHeight="1">
      <c r="A103" s="1589"/>
      <c r="B103" s="1466" t="s">
        <v>405</v>
      </c>
      <c r="C103" s="1467"/>
      <c r="D103" s="1468"/>
      <c r="E103" s="1469" t="str">
        <f t="shared" si="6"/>
        <v>인문,자연전체</v>
      </c>
      <c r="F103" s="1470"/>
      <c r="G103" s="1471">
        <f>VLOOKUP($B103,계산도구!$A$2:$G$529,4,FALSE)+VLOOKUP($B103,계산도구!$A$2:$G$529,5,FALSE)+VLOOKUP($B103,계산도구!$A$2:$G$529,6,FALSE)+VLOOKUP($B103,계산도구!$A$2:$G$529,7,FALSE)</f>
        <v>628.36333333333323</v>
      </c>
      <c r="H103" s="1472"/>
      <c r="I103" s="1473"/>
      <c r="J103" s="1474" t="str">
        <f t="shared" si="4"/>
        <v>+학생부</v>
      </c>
      <c r="K103" s="1475"/>
      <c r="L103" s="1587"/>
    </row>
    <row r="104" spans="1:12" s="198" customFormat="1" ht="20.100000000000001" customHeight="1">
      <c r="A104" s="1589"/>
      <c r="B104" s="1466" t="s">
        <v>145</v>
      </c>
      <c r="C104" s="1467"/>
      <c r="D104" s="1468"/>
      <c r="E104" s="1469" t="str">
        <f t="shared" si="6"/>
        <v>가군전체</v>
      </c>
      <c r="F104" s="1470"/>
      <c r="G104" s="1471">
        <f>VLOOKUP($B104,계산도구!$A$2:$G$529,4,FALSE)+VLOOKUP($B104,계산도구!$A$2:$G$529,5,FALSE)+VLOOKUP($B104,계산도구!$A$2:$G$529,6,FALSE)+VLOOKUP($B104,계산도구!$A$2:$G$529,7,FALSE)</f>
        <v>529.19999999999993</v>
      </c>
      <c r="H104" s="1472"/>
      <c r="I104" s="1473"/>
      <c r="J104" s="1474" t="str">
        <f t="shared" si="4"/>
        <v>+학생부</v>
      </c>
      <c r="K104" s="1475"/>
      <c r="L104" s="1587"/>
    </row>
    <row r="105" spans="1:12" s="198" customFormat="1" ht="20.100000000000001" customHeight="1">
      <c r="A105" s="1589"/>
      <c r="B105" s="1466" t="s">
        <v>146</v>
      </c>
      <c r="C105" s="1467"/>
      <c r="D105" s="1468"/>
      <c r="E105" s="1469" t="str">
        <f t="shared" si="6"/>
        <v>다-인문계열전체</v>
      </c>
      <c r="F105" s="1470"/>
      <c r="G105" s="1471">
        <f>VLOOKUP($B105,계산도구!$A$2:$G$529,4,FALSE)+VLOOKUP($B105,계산도구!$A$2:$G$529,5,FALSE)+VLOOKUP($B105,계산도구!$A$2:$G$529,6,FALSE)+VLOOKUP($B105,계산도구!$A$2:$G$529,7,FALSE)</f>
        <v>870</v>
      </c>
      <c r="H105" s="1472"/>
      <c r="I105" s="1473"/>
      <c r="J105" s="1474" t="str">
        <f t="shared" si="4"/>
        <v>수능100%</v>
      </c>
      <c r="K105" s="1475"/>
      <c r="L105" s="1587"/>
    </row>
    <row r="106" spans="1:12" s="198" customFormat="1" ht="20.100000000000001" customHeight="1">
      <c r="A106" s="1589"/>
      <c r="B106" s="1466" t="s">
        <v>147</v>
      </c>
      <c r="C106" s="1467"/>
      <c r="D106" s="1468"/>
      <c r="E106" s="1469" t="str">
        <f t="shared" si="6"/>
        <v>다-경상계,자연일부</v>
      </c>
      <c r="F106" s="1470"/>
      <c r="G106" s="1471">
        <f>VLOOKUP($B106,계산도구!$A$2:$G$529,4,FALSE)+VLOOKUP($B106,계산도구!$A$2:$G$529,5,FALSE)+VLOOKUP($B106,계산도구!$A$2:$G$529,6,FALSE)+VLOOKUP($B106,계산도구!$A$2:$G$529,7,FALSE)</f>
        <v>884</v>
      </c>
      <c r="H106" s="1472"/>
      <c r="I106" s="1473"/>
      <c r="J106" s="1474" t="str">
        <f t="shared" si="4"/>
        <v>수능100%</v>
      </c>
      <c r="K106" s="1475"/>
      <c r="L106" s="1587"/>
    </row>
    <row r="107" spans="1:12" s="198" customFormat="1" ht="20.100000000000001" customHeight="1">
      <c r="A107" s="1589"/>
      <c r="B107" s="1466" t="s">
        <v>162</v>
      </c>
      <c r="C107" s="1467"/>
      <c r="D107" s="1468"/>
      <c r="E107" s="1469" t="str">
        <f t="shared" si="6"/>
        <v>전체</v>
      </c>
      <c r="F107" s="1470"/>
      <c r="G107" s="1471">
        <f>VLOOKUP($B107,계산도구!$A$2:$G$529,4,FALSE)+VLOOKUP($B107,계산도구!$A$2:$G$529,5,FALSE)+VLOOKUP($B107,계산도구!$A$2:$G$529,6,FALSE)+VLOOKUP($B107,계산도구!$A$2:$G$529,7,FALSE)</f>
        <v>856</v>
      </c>
      <c r="H107" s="1472"/>
      <c r="I107" s="1473"/>
      <c r="J107" s="1474" t="str">
        <f t="shared" si="4"/>
        <v>수능100%</v>
      </c>
      <c r="K107" s="1475"/>
      <c r="L107" s="1587"/>
    </row>
    <row r="108" spans="1:12" s="198" customFormat="1" ht="20.100000000000001" customHeight="1">
      <c r="A108" s="1589"/>
      <c r="B108" s="1466" t="s">
        <v>163</v>
      </c>
      <c r="C108" s="1467"/>
      <c r="D108" s="1468"/>
      <c r="E108" s="1469" t="str">
        <f t="shared" si="6"/>
        <v>간호포함자연</v>
      </c>
      <c r="F108" s="1470"/>
      <c r="G108" s="1471">
        <f>VLOOKUP($B108,계산도구!$A$2:$G$529,4,FALSE)+VLOOKUP($B108,계산도구!$A$2:$G$529,5,FALSE)+VLOOKUP($B108,계산도구!$A$2:$G$529,6,FALSE)+VLOOKUP($B108,계산도구!$A$2:$G$529,7,FALSE)</f>
        <v>872</v>
      </c>
      <c r="H108" s="1472"/>
      <c r="I108" s="1473"/>
      <c r="J108" s="1474" t="str">
        <f t="shared" si="4"/>
        <v>수능100%</v>
      </c>
      <c r="K108" s="1475"/>
      <c r="L108" s="1587"/>
    </row>
    <row r="109" spans="1:12" s="198" customFormat="1" ht="20.100000000000001" customHeight="1">
      <c r="A109" s="1589"/>
      <c r="B109" s="1549" t="s">
        <v>161</v>
      </c>
      <c r="C109" s="1550"/>
      <c r="D109" s="1550"/>
      <c r="E109" s="1550"/>
      <c r="F109" s="1550"/>
      <c r="G109" s="1550"/>
      <c r="H109" s="1550"/>
      <c r="I109" s="1550"/>
      <c r="J109" s="1550"/>
      <c r="K109" s="1551"/>
      <c r="L109" s="1587"/>
    </row>
    <row r="110" spans="1:12" s="198" customFormat="1" ht="20.100000000000001" customHeight="1">
      <c r="A110" s="1589"/>
      <c r="B110" s="1466" t="s">
        <v>148</v>
      </c>
      <c r="C110" s="1467"/>
      <c r="D110" s="1468"/>
      <c r="E110" s="1469" t="str">
        <f>IF(B110="교원대1","초등,유아,교육학",IF(B110="교원대2","국어,사탐과목",IF(B110="교원대3","영어,독어,불어","전체")))</f>
        <v>전체</v>
      </c>
      <c r="F110" s="1470"/>
      <c r="G110" s="1471">
        <f>VLOOKUP($B110,계산도구!$A$3:$G$529,4,FALSE)+VLOOKUP($B110,계산도구!$A$3:$G$529,5,FALSE)+VLOOKUP($B110,계산도구!$A$3:$G$529,6,FALSE)+VLOOKUP($B110,계산도구!$A$3:$G$529,7,FALSE)</f>
        <v>448.125</v>
      </c>
      <c r="H110" s="1472"/>
      <c r="I110" s="1473"/>
      <c r="J110" s="1479" t="str">
        <f>"+학생부"</f>
        <v>+학생부</v>
      </c>
      <c r="K110" s="1480"/>
      <c r="L110" s="1587"/>
    </row>
    <row r="111" spans="1:12" s="198" customFormat="1" ht="20.100000000000001" customHeight="1">
      <c r="A111" s="1589"/>
      <c r="B111" s="1476" t="s">
        <v>149</v>
      </c>
      <c r="C111" s="1477"/>
      <c r="D111" s="1478"/>
      <c r="E111" s="1469" t="str">
        <f t="shared" ref="E111:E122" si="7">IF(B111="교원대1","초등,유아,교육학",IF(B111="교원대2","국어,사탐과목",IF(B111="교원대3","영어,독어,불어","전체")))</f>
        <v>전체</v>
      </c>
      <c r="F111" s="1470"/>
      <c r="G111" s="1471">
        <f>VLOOKUP($B111,계산도구!$A$3:$G$529,4,FALSE)+VLOOKUP($B111,계산도구!$A$3:$G$529,5,FALSE)+VLOOKUP($B111,계산도구!$A$3:$G$529,6,FALSE)+VLOOKUP($B111,계산도구!$A$3:$G$529,7,FALSE)</f>
        <v>378.375</v>
      </c>
      <c r="H111" s="1472"/>
      <c r="I111" s="1473"/>
      <c r="J111" s="1479" t="str">
        <f t="shared" ref="J111:J123" si="8">"+학생부"</f>
        <v>+학생부</v>
      </c>
      <c r="K111" s="1480"/>
      <c r="L111" s="1587"/>
    </row>
    <row r="112" spans="1:12" s="198" customFormat="1" ht="20.100000000000001" customHeight="1">
      <c r="A112" s="1589"/>
      <c r="B112" s="1476" t="s">
        <v>150</v>
      </c>
      <c r="C112" s="1477"/>
      <c r="D112" s="1478"/>
      <c r="E112" s="1481" t="str">
        <f t="shared" si="7"/>
        <v>초등,유아,교육학</v>
      </c>
      <c r="F112" s="1482"/>
      <c r="G112" s="1471">
        <f>VLOOKUP($B112,계산도구!$A$3:$G$529,4,FALSE)+VLOOKUP($B112,계산도구!$A$3:$G$529,5,FALSE)+VLOOKUP($B112,계산도구!$A$3:$G$529,6,FALSE)+VLOOKUP($B112,계산도구!$A$3:$G$529,7,FALSE)</f>
        <v>245.74666666666667</v>
      </c>
      <c r="H112" s="1472"/>
      <c r="I112" s="1473"/>
      <c r="J112" s="1479" t="str">
        <f t="shared" si="8"/>
        <v>+학생부</v>
      </c>
      <c r="K112" s="1480"/>
      <c r="L112" s="1587"/>
    </row>
    <row r="113" spans="1:12" s="198" customFormat="1" ht="20.100000000000001" customHeight="1">
      <c r="A113" s="1589"/>
      <c r="B113" s="1476" t="s">
        <v>151</v>
      </c>
      <c r="C113" s="1477"/>
      <c r="D113" s="1478"/>
      <c r="E113" s="1481" t="str">
        <f t="shared" si="7"/>
        <v>국어,사탐과목</v>
      </c>
      <c r="F113" s="1482"/>
      <c r="G113" s="1471">
        <f>VLOOKUP($B113,계산도구!$A$3:$G$529,4,FALSE)+VLOOKUP($B113,계산도구!$A$3:$G$529,5,FALSE)+VLOOKUP($B113,계산도구!$A$3:$G$529,6,FALSE)+VLOOKUP($B113,계산도구!$A$3:$G$529,7,FALSE)</f>
        <v>246.56333333333333</v>
      </c>
      <c r="H113" s="1472"/>
      <c r="I113" s="1473"/>
      <c r="J113" s="1479" t="str">
        <f t="shared" si="8"/>
        <v>+학생부</v>
      </c>
      <c r="K113" s="1480"/>
      <c r="L113" s="1587"/>
    </row>
    <row r="114" spans="1:12" s="198" customFormat="1" ht="20.100000000000001" customHeight="1">
      <c r="A114" s="1589"/>
      <c r="B114" s="1476" t="s">
        <v>152</v>
      </c>
      <c r="C114" s="1477"/>
      <c r="D114" s="1478"/>
      <c r="E114" s="1481" t="str">
        <f t="shared" si="7"/>
        <v>영어,독어,불어</v>
      </c>
      <c r="F114" s="1482"/>
      <c r="G114" s="1471">
        <f>VLOOKUP($B114,계산도구!$A$3:$G$529,4,FALSE)+VLOOKUP($B114,계산도구!$A$3:$G$529,5,FALSE)+VLOOKUP($B114,계산도구!$A$3:$G$529,6,FALSE)+VLOOKUP($B114,계산도구!$A$3:$G$529,7,FALSE)</f>
        <v>245.23333333333332</v>
      </c>
      <c r="H114" s="1472"/>
      <c r="I114" s="1473"/>
      <c r="J114" s="1479" t="str">
        <f t="shared" si="8"/>
        <v>+학생부</v>
      </c>
      <c r="K114" s="1480"/>
      <c r="L114" s="1587"/>
    </row>
    <row r="115" spans="1:12" s="198" customFormat="1" ht="20.100000000000001" customHeight="1">
      <c r="A115" s="1589"/>
      <c r="B115" s="1476" t="s">
        <v>153</v>
      </c>
      <c r="C115" s="1477"/>
      <c r="D115" s="1478"/>
      <c r="E115" s="1469" t="str">
        <f t="shared" si="7"/>
        <v>전체</v>
      </c>
      <c r="F115" s="1470"/>
      <c r="G115" s="1471">
        <f>VLOOKUP($B115,계산도구!$A$3:$G$529,4,FALSE)+VLOOKUP($B115,계산도구!$A$3:$G$529,5,FALSE)+VLOOKUP($B115,계산도구!$A$3:$G$529,6,FALSE)+VLOOKUP($B115,계산도구!$A$3:$G$529,7,FALSE)</f>
        <v>350.39583333333331</v>
      </c>
      <c r="H115" s="1472"/>
      <c r="I115" s="1473"/>
      <c r="J115" s="1479" t="str">
        <f t="shared" si="8"/>
        <v>+학생부</v>
      </c>
      <c r="K115" s="1480"/>
      <c r="L115" s="1587"/>
    </row>
    <row r="116" spans="1:12" s="198" customFormat="1" ht="20.100000000000001" customHeight="1">
      <c r="A116" s="1589"/>
      <c r="B116" s="1476" t="s">
        <v>154</v>
      </c>
      <c r="C116" s="1477"/>
      <c r="D116" s="1478"/>
      <c r="E116" s="1469" t="str">
        <f t="shared" si="7"/>
        <v>전체</v>
      </c>
      <c r="F116" s="1470"/>
      <c r="G116" s="1471">
        <f>VLOOKUP($B116,계산도구!$A$3:$G$529,4,FALSE)+VLOOKUP($B116,계산도구!$A$3:$G$529,5,FALSE)+VLOOKUP($B116,계산도구!$A$3:$G$529,6,FALSE)+VLOOKUP($B116,계산도구!$A$3:$G$529,7,FALSE)</f>
        <v>239.85000000000002</v>
      </c>
      <c r="H116" s="1472"/>
      <c r="I116" s="1473"/>
      <c r="J116" s="1479" t="str">
        <f t="shared" si="8"/>
        <v>+학생부</v>
      </c>
      <c r="K116" s="1480"/>
      <c r="L116" s="1587"/>
    </row>
    <row r="117" spans="1:12" s="198" customFormat="1" ht="20.100000000000001" customHeight="1">
      <c r="A117" s="1589"/>
      <c r="B117" s="1476" t="s">
        <v>155</v>
      </c>
      <c r="C117" s="1477"/>
      <c r="D117" s="1478"/>
      <c r="E117" s="1469" t="str">
        <f t="shared" si="7"/>
        <v>전체</v>
      </c>
      <c r="F117" s="1470"/>
      <c r="G117" s="1471">
        <f>VLOOKUP($B117,계산도구!$A$3:$G$529,4,FALSE)+VLOOKUP($B117,계산도구!$A$3:$G$529,5,FALSE)+VLOOKUP($B117,계산도구!$A$3:$G$529,6,FALSE)+VLOOKUP($B117,계산도구!$A$3:$G$529,7,FALSE)</f>
        <v>360.47</v>
      </c>
      <c r="H117" s="1472"/>
      <c r="I117" s="1473"/>
      <c r="J117" s="1479" t="str">
        <f t="shared" si="8"/>
        <v>+학생부</v>
      </c>
      <c r="K117" s="1480"/>
      <c r="L117" s="1587"/>
    </row>
    <row r="118" spans="1:12" s="198" customFormat="1" ht="20.100000000000001" customHeight="1">
      <c r="A118" s="1589"/>
      <c r="B118" s="1476" t="s">
        <v>156</v>
      </c>
      <c r="C118" s="1477"/>
      <c r="D118" s="1478"/>
      <c r="E118" s="1469" t="str">
        <f t="shared" si="7"/>
        <v>전체</v>
      </c>
      <c r="F118" s="1470"/>
      <c r="G118" s="1471">
        <f>VLOOKUP($B118,계산도구!$A$3:$G$529,4,FALSE)+VLOOKUP($B118,계산도구!$A$3:$G$529,5,FALSE)+VLOOKUP($B118,계산도구!$A$3:$G$529,6,FALSE)+VLOOKUP($B118,계산도구!$A$3:$G$529,7,FALSE)</f>
        <v>355.33333333333337</v>
      </c>
      <c r="H118" s="1472"/>
      <c r="I118" s="1473"/>
      <c r="J118" s="1479" t="str">
        <f t="shared" si="8"/>
        <v>+학생부</v>
      </c>
      <c r="K118" s="1480"/>
      <c r="L118" s="1587"/>
    </row>
    <row r="119" spans="1:12" s="198" customFormat="1" ht="20.100000000000001" customHeight="1">
      <c r="A119" s="1589"/>
      <c r="B119" s="1476" t="s">
        <v>157</v>
      </c>
      <c r="C119" s="1477"/>
      <c r="D119" s="1478"/>
      <c r="E119" s="1469" t="str">
        <f t="shared" si="7"/>
        <v>전체</v>
      </c>
      <c r="F119" s="1470"/>
      <c r="G119" s="1471">
        <f>VLOOKUP($B119,계산도구!$A$3:$G$529,4,FALSE)+VLOOKUP($B119,계산도구!$A$3:$G$529,5,FALSE)+VLOOKUP($B119,계산도구!$A$3:$G$529,6,FALSE)+VLOOKUP($B119,계산도구!$A$3:$G$529,7,FALSE)</f>
        <v>545.65744466800811</v>
      </c>
      <c r="H119" s="1472"/>
      <c r="I119" s="1473"/>
      <c r="J119" s="1479" t="str">
        <f t="shared" si="8"/>
        <v>+학생부</v>
      </c>
      <c r="K119" s="1480"/>
      <c r="L119" s="1587"/>
    </row>
    <row r="120" spans="1:12" s="198" customFormat="1" ht="20.100000000000001" customHeight="1">
      <c r="A120" s="1589"/>
      <c r="B120" s="1476" t="s">
        <v>158</v>
      </c>
      <c r="C120" s="1477"/>
      <c r="D120" s="1478"/>
      <c r="E120" s="1469" t="str">
        <f t="shared" si="7"/>
        <v>전체</v>
      </c>
      <c r="F120" s="1470"/>
      <c r="G120" s="1471">
        <f>VLOOKUP($B120,계산도구!$A$3:$G$529,4,FALSE)+VLOOKUP($B120,계산도구!$A$3:$G$529,5,FALSE)+VLOOKUP($B120,계산도구!$A$3:$G$529,6,FALSE)+VLOOKUP($B120,계산도구!$A$3:$G$529,7,FALSE)</f>
        <v>358.5</v>
      </c>
      <c r="H120" s="1472"/>
      <c r="I120" s="1473"/>
      <c r="J120" s="1479" t="str">
        <f t="shared" si="8"/>
        <v>+학생부</v>
      </c>
      <c r="K120" s="1480"/>
      <c r="L120" s="1587"/>
    </row>
    <row r="121" spans="1:12" s="198" customFormat="1" ht="20.100000000000001" customHeight="1">
      <c r="A121" s="1589"/>
      <c r="B121" s="1476" t="s">
        <v>159</v>
      </c>
      <c r="C121" s="1477"/>
      <c r="D121" s="1478"/>
      <c r="E121" s="1469" t="str">
        <f t="shared" si="7"/>
        <v>전체</v>
      </c>
      <c r="F121" s="1470"/>
      <c r="G121" s="1471">
        <f>VLOOKUP($B121,계산도구!$A$3:$G$529,4,FALSE)+VLOOKUP($B121,계산도구!$A$3:$G$529,5,FALSE)+VLOOKUP($B121,계산도구!$A$3:$G$529,6,FALSE)+VLOOKUP($B121,계산도구!$A$3:$G$529,7,FALSE)</f>
        <v>252.25</v>
      </c>
      <c r="H121" s="1472"/>
      <c r="I121" s="1473"/>
      <c r="J121" s="1479" t="str">
        <f t="shared" si="8"/>
        <v>+학생부</v>
      </c>
      <c r="K121" s="1480"/>
      <c r="L121" s="1587"/>
    </row>
    <row r="122" spans="1:12" s="198" customFormat="1" ht="20.100000000000001" customHeight="1">
      <c r="A122" s="1589"/>
      <c r="B122" s="1530" t="s">
        <v>160</v>
      </c>
      <c r="C122" s="1552"/>
      <c r="D122" s="1532"/>
      <c r="E122" s="1547" t="str">
        <f t="shared" si="7"/>
        <v>전체</v>
      </c>
      <c r="F122" s="1548"/>
      <c r="G122" s="1533">
        <f>VLOOKUP($B122,계산도구!$A$3:$G$529,4,FALSE)+VLOOKUP($B122,계산도구!$A$3:$G$529,5,FALSE)+VLOOKUP($B122,계산도구!$A$3:$G$529,6,FALSE)+VLOOKUP($B122,계산도구!$A$3:$G$529,7,FALSE)</f>
        <v>513</v>
      </c>
      <c r="H122" s="1534"/>
      <c r="I122" s="1535"/>
      <c r="J122" s="1479" t="str">
        <f t="shared" si="8"/>
        <v>+학생부</v>
      </c>
      <c r="K122" s="1480"/>
      <c r="L122" s="1587"/>
    </row>
    <row r="123" spans="1:12" s="198" customFormat="1" ht="20.100000000000001" customHeight="1" thickBot="1">
      <c r="A123" s="1589"/>
      <c r="B123" s="1530" t="s">
        <v>251</v>
      </c>
      <c r="C123" s="1552"/>
      <c r="D123" s="1532"/>
      <c r="E123" s="1547" t="str">
        <f>IF(B123="교원대1","초등,유아,교육학",IF(B123="교원대2","국어,사탐과목",IF(B123="교원대3","영어,독어,불어","전체")))</f>
        <v>전체</v>
      </c>
      <c r="F123" s="1548"/>
      <c r="G123" s="1525">
        <f>VLOOKUP($B123,계산도구!$A$3:$G$529,4,FALSE)+VLOOKUP($B123,계산도구!$A$3:$G$529,5,FALSE)+VLOOKUP($B123,계산도구!$A$3:$G$529,6,FALSE)+VLOOKUP($B123,계산도구!$A$3:$G$529,7,FALSE)</f>
        <v>399.06</v>
      </c>
      <c r="H123" s="1526"/>
      <c r="I123" s="1527"/>
      <c r="J123" s="1528" t="str">
        <f t="shared" si="8"/>
        <v>+학생부</v>
      </c>
      <c r="K123" s="1529"/>
      <c r="L123" s="1587"/>
    </row>
    <row r="124" spans="1:12" s="198" customFormat="1" ht="20.100000000000001" customHeight="1" thickBot="1">
      <c r="A124" s="1589"/>
      <c r="B124" s="1499" t="s">
        <v>171</v>
      </c>
      <c r="C124" s="1500"/>
      <c r="D124" s="1500"/>
      <c r="E124" s="1500"/>
      <c r="F124" s="1500"/>
      <c r="G124" s="1500"/>
      <c r="H124" s="1500"/>
      <c r="I124" s="1500"/>
      <c r="J124" s="1500"/>
      <c r="K124" s="1501"/>
      <c r="L124" s="1587"/>
    </row>
    <row r="125" spans="1:12" s="198" customFormat="1" ht="20.100000000000001" customHeight="1">
      <c r="A125" s="1589"/>
      <c r="B125" s="1502" t="s">
        <v>18</v>
      </c>
      <c r="C125" s="1503"/>
      <c r="D125" s="1504"/>
      <c r="E125" s="1505" t="str">
        <f t="shared" ref="E125:E132" si="9">IF(OR(B125="대전대",B125="경희대1",B125="대구한의대",B125="동의대"),"가/나,사/과분할",IF(OR(B125="세명대",B125="상지대"),"가/나,사/과경쟁",IF(OR(B125="원광대"),"가)가/나,사/과경쟁",IF(OR(B125="원광대1"),"다)가/나,사/과경쟁",IF(OR(B125="동신대"),"나)가/나,사/과경쟁",IF(OR(B125="동신대1"),"가)가/나,사/과경쟁","전체"))))))</f>
        <v>가/나,사/과분할</v>
      </c>
      <c r="F125" s="1506"/>
      <c r="G125" s="1515">
        <f>VLOOKUP($B125,계산도구!$A$3:$G$529,4,FALSE)+VLOOKUP($B125,계산도구!$A$3:$G$529,5,FALSE)+VLOOKUP($B125,계산도구!$A$3:$G$529,6,FALSE)+VLOOKUP($B125,계산도구!$A$3:$G$529,7,FALSE)</f>
        <v>626.10924241098769</v>
      </c>
      <c r="H125" s="1516"/>
      <c r="I125" s="1517"/>
      <c r="J125" s="1518" t="str">
        <f t="shared" ref="J125:J132" si="10">IF(OR(B125="원광대1",B125="동신대1"),"수능100%","+학생부")</f>
        <v>+학생부</v>
      </c>
      <c r="K125" s="1519"/>
      <c r="L125" s="1587"/>
    </row>
    <row r="126" spans="1:12" s="198" customFormat="1" ht="20.100000000000001" customHeight="1">
      <c r="A126" s="1589"/>
      <c r="B126" s="1476" t="s">
        <v>164</v>
      </c>
      <c r="C126" s="1467"/>
      <c r="D126" s="1478"/>
      <c r="E126" s="1511" t="str">
        <f t="shared" si="9"/>
        <v>가/나,사/과분할</v>
      </c>
      <c r="F126" s="1512"/>
      <c r="G126" s="1471">
        <f>VLOOKUP($B126,계산도구!$A$3:$G$529,4,FALSE)+VLOOKUP($B126,계산도구!$A$3:$G$529,5,FALSE)+VLOOKUP($B126,계산도구!$A$3:$G$529,6,FALSE)+VLOOKUP($B126,계산도구!$A$3:$G$529,7,FALSE)</f>
        <v>717</v>
      </c>
      <c r="H126" s="1472"/>
      <c r="I126" s="1473"/>
      <c r="J126" s="1474" t="str">
        <f t="shared" si="10"/>
        <v>+학생부</v>
      </c>
      <c r="K126" s="1475"/>
      <c r="L126" s="1587"/>
    </row>
    <row r="127" spans="1:12" s="198" customFormat="1" ht="20.100000000000001" customHeight="1">
      <c r="A127" s="1589"/>
      <c r="B127" s="1476" t="s">
        <v>166</v>
      </c>
      <c r="C127" s="1467"/>
      <c r="D127" s="1478"/>
      <c r="E127" s="1511" t="str">
        <f t="shared" si="9"/>
        <v>가/나,사/과분할</v>
      </c>
      <c r="F127" s="1512"/>
      <c r="G127" s="1471">
        <f>VLOOKUP($B127,계산도구!$A$3:$G$529,4,FALSE)+VLOOKUP($B127,계산도구!$A$3:$G$529,5,FALSE)+VLOOKUP($B127,계산도구!$A$3:$G$529,6,FALSE)+VLOOKUP($B127,계산도구!$A$3:$G$529,7,FALSE)</f>
        <v>632.14719476277958</v>
      </c>
      <c r="H127" s="1472"/>
      <c r="I127" s="1473"/>
      <c r="J127" s="1474" t="str">
        <f t="shared" si="10"/>
        <v>+학생부</v>
      </c>
      <c r="K127" s="1475"/>
      <c r="L127" s="1587"/>
    </row>
    <row r="128" spans="1:12" s="198" customFormat="1" ht="20.100000000000001" customHeight="1">
      <c r="A128" s="1589"/>
      <c r="B128" s="1476" t="s">
        <v>167</v>
      </c>
      <c r="C128" s="1467"/>
      <c r="D128" s="1478"/>
      <c r="E128" s="1511" t="str">
        <f t="shared" si="9"/>
        <v>가/나,사/과분할</v>
      </c>
      <c r="F128" s="1512"/>
      <c r="G128" s="1471">
        <f>VLOOKUP($B128,계산도구!$A$3:$G$529,4,FALSE)+VLOOKUP($B128,계산도구!$A$3:$G$529,5,FALSE)+VLOOKUP($B128,계산도구!$A$3:$G$529,6,FALSE)+VLOOKUP($B128,계산도구!$A$3:$G$529,7,FALSE)</f>
        <v>382.25</v>
      </c>
      <c r="H128" s="1472"/>
      <c r="I128" s="1473"/>
      <c r="J128" s="1474" t="str">
        <f t="shared" si="10"/>
        <v>+학생부</v>
      </c>
      <c r="K128" s="1475"/>
      <c r="L128" s="1587"/>
    </row>
    <row r="129" spans="1:12" s="198" customFormat="1" ht="20.100000000000001" customHeight="1">
      <c r="A129" s="1589"/>
      <c r="B129" s="1476" t="s">
        <v>165</v>
      </c>
      <c r="C129" s="1467"/>
      <c r="D129" s="1478"/>
      <c r="E129" s="1481" t="str">
        <f t="shared" si="9"/>
        <v>가/나,사/과경쟁</v>
      </c>
      <c r="F129" s="1482"/>
      <c r="G129" s="1471">
        <f>VLOOKUP($B129,계산도구!$A$3:$G$529,4,FALSE)+VLOOKUP($B129,계산도구!$A$3:$G$529,5,FALSE)+VLOOKUP($B129,계산도구!$A$3:$G$529,6,FALSE)+VLOOKUP($B129,계산도구!$A$3:$G$529,7,FALSE)</f>
        <v>537.75</v>
      </c>
      <c r="H129" s="1472"/>
      <c r="I129" s="1473"/>
      <c r="J129" s="1474" t="str">
        <f t="shared" si="10"/>
        <v>+학생부</v>
      </c>
      <c r="K129" s="1475"/>
      <c r="L129" s="1587"/>
    </row>
    <row r="130" spans="1:12" s="198" customFormat="1" ht="20.100000000000001" customHeight="1">
      <c r="A130" s="1589"/>
      <c r="B130" s="1476" t="s">
        <v>168</v>
      </c>
      <c r="C130" s="1467"/>
      <c r="D130" s="1478"/>
      <c r="E130" s="1481" t="str">
        <f t="shared" si="9"/>
        <v>가)가/나,사/과경쟁</v>
      </c>
      <c r="F130" s="1482"/>
      <c r="G130" s="1471">
        <f>VLOOKUP($B130,계산도구!$A$3:$G$529,4,FALSE)+VLOOKUP($B130,계산도구!$A$3:$G$529,5,FALSE)+VLOOKUP($B130,계산도구!$A$3:$G$529,6,FALSE)+VLOOKUP($B130,계산도구!$A$3:$G$529,7,FALSE)</f>
        <v>538.66666666666663</v>
      </c>
      <c r="H130" s="1472"/>
      <c r="I130" s="1473"/>
      <c r="J130" s="1474" t="str">
        <f t="shared" si="10"/>
        <v>+학생부</v>
      </c>
      <c r="K130" s="1475"/>
      <c r="L130" s="1587"/>
    </row>
    <row r="131" spans="1:12" s="198" customFormat="1" ht="20.100000000000001" customHeight="1">
      <c r="A131" s="1589"/>
      <c r="B131" s="1476" t="s">
        <v>724</v>
      </c>
      <c r="C131" s="1467"/>
      <c r="D131" s="1478"/>
      <c r="E131" s="1481" t="str">
        <f t="shared" si="9"/>
        <v>다)가/나,사/과경쟁</v>
      </c>
      <c r="F131" s="1482"/>
      <c r="G131" s="1471">
        <f>G130*8/6</f>
        <v>718.22222222222217</v>
      </c>
      <c r="H131" s="1472"/>
      <c r="I131" s="1473"/>
      <c r="J131" s="1474" t="str">
        <f t="shared" si="10"/>
        <v>수능100%</v>
      </c>
      <c r="K131" s="1475"/>
      <c r="L131" s="1587"/>
    </row>
    <row r="132" spans="1:12" s="198" customFormat="1" ht="20.100000000000001" customHeight="1">
      <c r="A132" s="1589"/>
      <c r="B132" s="1530" t="s">
        <v>169</v>
      </c>
      <c r="C132" s="1531"/>
      <c r="D132" s="1532"/>
      <c r="E132" s="1481" t="str">
        <f t="shared" si="9"/>
        <v>가/나,사/과경쟁</v>
      </c>
      <c r="F132" s="1482"/>
      <c r="G132" s="1533">
        <f>VLOOKUP($B132,계산도구!$A$3:$G$529,4,FALSE)+VLOOKUP($B132,계산도구!$A$3:$G$529,5,FALSE)+VLOOKUP($B132,계산도구!$A$3:$G$529,6,FALSE)+VLOOKUP($B132,계산도구!$A$3:$G$529,7,FALSE)</f>
        <v>537.75</v>
      </c>
      <c r="H132" s="1534"/>
      <c r="I132" s="1535"/>
      <c r="J132" s="1474" t="str">
        <f t="shared" si="10"/>
        <v>+학생부</v>
      </c>
      <c r="K132" s="1475"/>
      <c r="L132" s="1587"/>
    </row>
    <row r="133" spans="1:12" s="198" customFormat="1" ht="20.100000000000001" customHeight="1">
      <c r="A133" s="1589"/>
      <c r="B133" s="1476" t="s">
        <v>307</v>
      </c>
      <c r="C133" s="1467"/>
      <c r="D133" s="1478"/>
      <c r="E133" s="1481" t="str">
        <f>IF(OR(B133="대전대",B133="경희대1",B133="대구한의대",B133="동의대"),"가/나,사/과분할",IF(OR(B133="세명대",B133="상지대"),"가/나,사/과경쟁",IF(OR(B133="원광대"),"가)가/나,사/과경쟁",IF(OR(B133="원광대1"),"다)가/나,사/과경쟁",IF(OR(B133="동신대"),"나)가/나,사/과경쟁",IF(OR(B133="동신대1"),"가)가/나,사/과경쟁","전체"))))))</f>
        <v>나)가/나,사/과경쟁</v>
      </c>
      <c r="F133" s="1482"/>
      <c r="G133" s="1471">
        <f>VLOOKUP($B133,계산도구!$A$3:$G$529,4,FALSE)+VLOOKUP($B133,계산도구!$A$3:$G$529,5,FALSE)+VLOOKUP($B133,계산도구!$A$3:$G$529,6,FALSE)+VLOOKUP($B133,계산도구!$A$3:$G$529,7,FALSE)</f>
        <v>537.75</v>
      </c>
      <c r="H133" s="1472"/>
      <c r="I133" s="1473"/>
      <c r="J133" s="1474" t="str">
        <f>IF(OR(B133="원광대1",B133="동신대1"),"수능100%","+학생부")</f>
        <v>+학생부</v>
      </c>
      <c r="K133" s="1475"/>
      <c r="L133" s="1587"/>
    </row>
    <row r="134" spans="1:12" s="198" customFormat="1" ht="20.100000000000001" customHeight="1" thickBot="1">
      <c r="A134" s="1589"/>
      <c r="B134" s="1483" t="s">
        <v>725</v>
      </c>
      <c r="C134" s="1484"/>
      <c r="D134" s="1485"/>
      <c r="E134" s="1493" t="str">
        <f>IF(OR(B134="대전대",B134="경희대1",B134="대구한의대",B134="동의대"),"가/나,사/과분할",IF(OR(B134="세명대",B134="상지대"),"가/나,사/과경쟁",IF(OR(B134="원광대"),"가)가/나,사/과경쟁",IF(OR(B134="원광대1"),"다)가/나,사/과경쟁",IF(OR(B134="동신대"),"나)가/나,사/과경쟁",IF(OR(B134="동신대1"),"가)가/나,사/과경쟁","전체"))))))</f>
        <v>가)가/나,사/과경쟁</v>
      </c>
      <c r="F134" s="1494"/>
      <c r="G134" s="1488">
        <f>G133*10/6</f>
        <v>896.25</v>
      </c>
      <c r="H134" s="1489"/>
      <c r="I134" s="1490"/>
      <c r="J134" s="1507" t="str">
        <f>IF(OR(B134="원광대1",B134="동신대1"),"수능100%","+학생부")</f>
        <v>수능100%</v>
      </c>
      <c r="K134" s="1508"/>
      <c r="L134" s="1587"/>
    </row>
    <row r="135" spans="1:12" s="198" customFormat="1" ht="20.100000000000001" customHeight="1" thickBot="1">
      <c r="A135" s="1589"/>
      <c r="B135" s="1499" t="s">
        <v>170</v>
      </c>
      <c r="C135" s="1500"/>
      <c r="D135" s="1500"/>
      <c r="E135" s="1500"/>
      <c r="F135" s="1500"/>
      <c r="G135" s="1500"/>
      <c r="H135" s="1500"/>
      <c r="I135" s="1500"/>
      <c r="J135" s="1500"/>
      <c r="K135" s="1501"/>
      <c r="L135" s="1587"/>
    </row>
    <row r="136" spans="1:12" s="198" customFormat="1" ht="20.100000000000001" customHeight="1">
      <c r="A136" s="1589"/>
      <c r="B136" s="1536" t="s">
        <v>168</v>
      </c>
      <c r="C136" s="1537"/>
      <c r="D136" s="1538"/>
      <c r="E136" s="1539" t="str">
        <f>IF(B136="원광대","가)가/나,사/과경쟁치의",IF(B136="원광대1","다)가/나,사/과경쟁치의","전체"))</f>
        <v>가)가/나,사/과경쟁치의</v>
      </c>
      <c r="F136" s="1540"/>
      <c r="G136" s="1515">
        <f>VLOOKUP($B136,계산도구!$A$3:$G$529,4,FALSE)+VLOOKUP($B136,계산도구!$A$3:$G$529,5,FALSE)+VLOOKUP($B136,계산도구!$A$3:$G$529,6,FALSE)+VLOOKUP($B136,계산도구!$A$3:$G$529,7,FALSE)</f>
        <v>538.66666666666663</v>
      </c>
      <c r="H136" s="1516"/>
      <c r="I136" s="1517"/>
      <c r="J136" s="1518" t="str">
        <f>IF(OR(B136="원광대1"),"수능100%","+학생부")</f>
        <v>+학생부</v>
      </c>
      <c r="K136" s="1519"/>
      <c r="L136" s="1587"/>
    </row>
    <row r="137" spans="1:12" s="198" customFormat="1" ht="20.100000000000001" customHeight="1" thickBot="1">
      <c r="A137" s="1589"/>
      <c r="B137" s="1483" t="s">
        <v>724</v>
      </c>
      <c r="C137" s="1484"/>
      <c r="D137" s="1485"/>
      <c r="E137" s="1486" t="str">
        <f>IF(B137="원광대","가)가/나,사/과경쟁치의",IF(B137="원광대1","다)가/나,사/과경쟁치의","전체"))</f>
        <v>다)가/나,사/과경쟁치의</v>
      </c>
      <c r="F137" s="1487"/>
      <c r="G137" s="1488">
        <f>G136*8/6</f>
        <v>718.22222222222217</v>
      </c>
      <c r="H137" s="1489"/>
      <c r="I137" s="1490"/>
      <c r="J137" s="1491" t="str">
        <f>IF(OR(B137="원광대1"),"수능100%","+학생부")</f>
        <v>수능100%</v>
      </c>
      <c r="K137" s="1492"/>
      <c r="L137" s="1587"/>
    </row>
    <row r="138" spans="1:12" s="198" customFormat="1" ht="20.100000000000001" customHeight="1" thickBot="1">
      <c r="A138" s="1589"/>
      <c r="B138" s="1499" t="s">
        <v>172</v>
      </c>
      <c r="C138" s="1500"/>
      <c r="D138" s="1500"/>
      <c r="E138" s="1500"/>
      <c r="F138" s="1500"/>
      <c r="G138" s="1500"/>
      <c r="H138" s="1500"/>
      <c r="I138" s="1500"/>
      <c r="J138" s="1500"/>
      <c r="K138" s="1501"/>
      <c r="L138" s="1587"/>
    </row>
    <row r="139" spans="1:12" s="198" customFormat="1" ht="20.100000000000001" customHeight="1">
      <c r="A139" s="1589"/>
      <c r="B139" s="1541" t="s">
        <v>174</v>
      </c>
      <c r="C139" s="1542"/>
      <c r="D139" s="1543"/>
      <c r="E139" s="1539" t="str">
        <f>IF(OR(B139="순천향대",B139="을지대"),"가/나,사/과경쟁의예",IF(OR(B139="원광대"),"가)가/나,사/과경쟁의예",IF(OR(B139="원광대1"),"다)가/나,사/과경쟁의예","전체")))</f>
        <v>가/나,사/과경쟁의예</v>
      </c>
      <c r="F139" s="1540"/>
      <c r="G139" s="1544">
        <f>VLOOKUP($B139,계산도구!$A$3:$G$529,4,FALSE)+VLOOKUP($B139,계산도구!$A$3:$G$529,5,FALSE)+VLOOKUP($B139,계산도구!$A$3:$G$529,6,FALSE)+VLOOKUP($B139,계산도구!$A$3:$G$529,7,FALSE)</f>
        <v>420.25</v>
      </c>
      <c r="H139" s="1545"/>
      <c r="I139" s="1546"/>
      <c r="J139" s="1518" t="str">
        <f>IF(OR(B139="원광대1"),"수능100%","+학생부")</f>
        <v>+학생부</v>
      </c>
      <c r="K139" s="1519"/>
      <c r="L139" s="1587"/>
    </row>
    <row r="140" spans="1:12" s="198" customFormat="1" ht="20.100000000000001" customHeight="1">
      <c r="A140" s="1589"/>
      <c r="B140" s="1476" t="s">
        <v>261</v>
      </c>
      <c r="C140" s="1467"/>
      <c r="D140" s="1478"/>
      <c r="E140" s="1481" t="str">
        <f>IF(OR(B140="순천향대",B140="을지대"),"가/나,사/과경쟁의예",IF(OR(B140="원광대"),"가)가/나,사/과경쟁의예",IF(OR(B140="원광대1"),"다)가/나,사/과경쟁의예","전체")))</f>
        <v>가)가/나,사/과경쟁의예</v>
      </c>
      <c r="F140" s="1482"/>
      <c r="G140" s="1471">
        <f>VLOOKUP($B140,계산도구!$A$3:$G$529,4,FALSE)+VLOOKUP($B140,계산도구!$A$3:$G$529,5,FALSE)+VLOOKUP($B140,계산도구!$A$3:$G$529,6,FALSE)+VLOOKUP($B140,계산도구!$A$3:$G$529,7,FALSE)</f>
        <v>538.66666666666663</v>
      </c>
      <c r="H140" s="1472"/>
      <c r="I140" s="1473"/>
      <c r="J140" s="1474" t="str">
        <f>IF(OR(B140="원광대1"),"수능100%","+학생부")</f>
        <v>+학생부</v>
      </c>
      <c r="K140" s="1475"/>
      <c r="L140" s="1587"/>
    </row>
    <row r="141" spans="1:12" s="198" customFormat="1" ht="20.100000000000001" customHeight="1">
      <c r="A141" s="1294"/>
      <c r="B141" s="1476" t="s">
        <v>724</v>
      </c>
      <c r="C141" s="1467"/>
      <c r="D141" s="1478"/>
      <c r="E141" s="1481" t="str">
        <f>IF(OR(B141="순천향대",B141="을지대"),"가/나,사/과경쟁의예",IF(OR(B141="원광대"),"가)가/나,사/과경쟁의예",IF(OR(B141="원광대1"),"다)가/나,사/과경쟁의예","전체")))</f>
        <v>다)가/나,사/과경쟁의예</v>
      </c>
      <c r="F141" s="1482"/>
      <c r="G141" s="1471">
        <f>G140*8/6</f>
        <v>718.22222222222217</v>
      </c>
      <c r="H141" s="1472"/>
      <c r="I141" s="1473"/>
      <c r="J141" s="1474" t="str">
        <f>IF(OR(B141="원광대1"),"수능100%","+학생부")</f>
        <v>수능100%</v>
      </c>
      <c r="K141" s="1475"/>
      <c r="L141" s="1293"/>
    </row>
    <row r="142" spans="1:12" s="198" customFormat="1" ht="20.100000000000001" customHeight="1" thickBot="1">
      <c r="A142" s="862"/>
      <c r="B142" s="1483" t="s">
        <v>177</v>
      </c>
      <c r="C142" s="1484"/>
      <c r="D142" s="1485"/>
      <c r="E142" s="1493" t="str">
        <f>IF(OR(B142="순천향대",B142="을지대"),"가/나,사/과경쟁의예",IF(OR(B142="원광대"),"가)가/나,사/과경쟁의예",IF(OR(B142="원광대1"),"다)가/나,사/과경쟁의예","전체")))</f>
        <v>가/나,사/과경쟁의예</v>
      </c>
      <c r="F142" s="1494"/>
      <c r="G142" s="1488">
        <f>VLOOKUP($B142,계산도구!$A$3:$G$529,4,FALSE)+VLOOKUP($B142,계산도구!$A$3:$G$529,5,FALSE)+VLOOKUP($B142,계산도구!$A$3:$G$529,6,FALSE)+VLOOKUP($B142,계산도구!$A$3:$G$529,7,FALSE)</f>
        <v>662.02499999999998</v>
      </c>
      <c r="H142" s="1489"/>
      <c r="I142" s="1490"/>
      <c r="J142" s="1507" t="str">
        <f>IF(OR(B142="원광대1"),"수능100%","+학생부")</f>
        <v>+학생부</v>
      </c>
      <c r="K142" s="1508"/>
      <c r="L142" s="861"/>
    </row>
    <row r="143" spans="1:12" s="198" customFormat="1" ht="20.100000000000001" customHeight="1" thickBot="1">
      <c r="A143" s="202"/>
      <c r="B143" s="1499" t="s">
        <v>211</v>
      </c>
      <c r="C143" s="1500"/>
      <c r="D143" s="1500"/>
      <c r="E143" s="1500"/>
      <c r="F143" s="1500"/>
      <c r="G143" s="1500"/>
      <c r="H143" s="1500"/>
      <c r="I143" s="1500"/>
      <c r="J143" s="1500"/>
      <c r="K143" s="1501"/>
      <c r="L143" s="201"/>
    </row>
    <row r="144" spans="1:12" s="198" customFormat="1" ht="20.100000000000001" customHeight="1">
      <c r="A144" s="505"/>
      <c r="B144" s="1536" t="s">
        <v>253</v>
      </c>
      <c r="C144" s="1590"/>
      <c r="D144" s="1538"/>
      <c r="E144" s="1581" t="str">
        <f t="shared" ref="E144:E150" si="11">IF(B144="항공대1","나)운항,교통,물류,법등",IF(B144="항공대2","나)경영,영어",IF(B144="항공대3","다)운항,교통,물류,법등",IF(B144="항공대4","다)경영,영어",IF(B144="한양대안산","가일반전체",IF(B144="한양대안산1","가우선,나다군전체",IF(B144="중앙대안성","가군전체",IF(B144="중앙대안성1","나군전체",IF(B144="경희대국제1","국제학과",IF(B144="경희대국제2","외국어대학",IF(B144="경희대국제3","자연2그룹",IF(B144="경기대","가군전체",IF(B144="경기대1","다군전체",IF(B144="수원대2","자연",IF(B144="안양대1","나군전체",IF(B144="안양대2","나군자연",IF(B144="안양대3","다군전체",IF(B144="안양대4","다군자연",IF(B144="고려대세종1","인문전체",IF(B144="고려대세종2","경상대,공공행정학부",IF(B144="연세대원주1","인문전체",IF(B144="연세대원주2","사회과학대",IF(B144="충북대","가군전체",IF(B144="충북대1","나군전체",IF(B144="경상대","가군전체",IF(B144="경상대1","다군전체",IF(B144="부산대2","생활환경",IF(B144="부산대3","생명자원",IF(B144="전남대1","나군전체",IF(B144="전남대2","나군인문대학",IF(B144="전남대3","나군생활환경,농생명",IF(B144="전남대4","가군전체",IF(B144="전남대5","가군인문대학",IF(B144="전남대6","가군생활환경,농생명",IF(B144="영남대","다군전체",IF(B144="영남대1","가군전체","전체"))))))))))))))))))))))))))))))))))))</f>
        <v>나)운항,교통,물류,법등</v>
      </c>
      <c r="F144" s="1582"/>
      <c r="G144" s="1515">
        <f>VLOOKUP($B144,계산도구!$A$2:$G$529,4,FALSE)+VLOOKUP($B144,계산도구!$A$2:$G$529,5,FALSE)+VLOOKUP($B144,계산도구!$A$2:$G$529,6,FALSE)+VLOOKUP($B144,계산도구!$A$2:$G$529,7,FALSE)</f>
        <v>384.45</v>
      </c>
      <c r="H144" s="1516"/>
      <c r="I144" s="1517"/>
      <c r="J144" s="1591" t="str">
        <f t="shared" ref="J144:J183" si="12">IF(OR(B144="항공대3",B144="항공대4",B144="한양대안산1",B144="중앙대안성1",B144="경기대1",B144="안양대3",B144="안양대4",B144="충북대1",B144="경상대1",B144="전남대4",B144="전남대5",B144="전남대6",B144="영남대1"),"수능100%","+학생부")</f>
        <v>+학생부</v>
      </c>
      <c r="K144" s="1592"/>
      <c r="L144" s="504"/>
    </row>
    <row r="145" spans="1:12" s="198" customFormat="1" ht="20.100000000000001" customHeight="1">
      <c r="A145" s="707"/>
      <c r="B145" s="1476" t="s">
        <v>254</v>
      </c>
      <c r="C145" s="1477"/>
      <c r="D145" s="1478"/>
      <c r="E145" s="1469" t="str">
        <f t="shared" si="11"/>
        <v>나)경영,영어</v>
      </c>
      <c r="F145" s="1470"/>
      <c r="G145" s="1471">
        <f>VLOOKUP($B145,계산도구!$A$2:$G$529,4,FALSE)+VLOOKUP($B145,계산도구!$A$2:$G$529,5,FALSE)+VLOOKUP($B145,계산도구!$A$2:$G$529,6,FALSE)+VLOOKUP($B145,계산도구!$A$2:$G$529,7,FALSE)</f>
        <v>371.76</v>
      </c>
      <c r="H145" s="1472"/>
      <c r="I145" s="1473"/>
      <c r="J145" s="1479" t="str">
        <f t="shared" si="12"/>
        <v>+학생부</v>
      </c>
      <c r="K145" s="1480"/>
      <c r="L145" s="706"/>
    </row>
    <row r="146" spans="1:12" s="198" customFormat="1" ht="20.100000000000001" customHeight="1">
      <c r="A146" s="1241"/>
      <c r="B146" s="1476" t="s">
        <v>476</v>
      </c>
      <c r="C146" s="1477"/>
      <c r="D146" s="1478"/>
      <c r="E146" s="1469" t="str">
        <f t="shared" si="11"/>
        <v>다)운항,교통,물류,법등</v>
      </c>
      <c r="F146" s="1470"/>
      <c r="G146" s="1471">
        <f>G144*10/6</f>
        <v>640.75</v>
      </c>
      <c r="H146" s="1472"/>
      <c r="I146" s="1473"/>
      <c r="J146" s="1479" t="str">
        <f t="shared" si="12"/>
        <v>수능100%</v>
      </c>
      <c r="K146" s="1480"/>
      <c r="L146" s="1240"/>
    </row>
    <row r="147" spans="1:12" s="198" customFormat="1" ht="20.100000000000001" customHeight="1">
      <c r="A147" s="1241"/>
      <c r="B147" s="1466" t="s">
        <v>477</v>
      </c>
      <c r="C147" s="1467"/>
      <c r="D147" s="1468"/>
      <c r="E147" s="1469" t="str">
        <f t="shared" si="11"/>
        <v>다)경영,영어</v>
      </c>
      <c r="F147" s="1470"/>
      <c r="G147" s="1471">
        <f>G145*10/6</f>
        <v>619.6</v>
      </c>
      <c r="H147" s="1472"/>
      <c r="I147" s="1473"/>
      <c r="J147" s="1479" t="str">
        <f t="shared" si="12"/>
        <v>수능100%</v>
      </c>
      <c r="K147" s="1480"/>
      <c r="L147" s="1240"/>
    </row>
    <row r="148" spans="1:12" s="198" customFormat="1" ht="20.100000000000001" customHeight="1">
      <c r="A148" s="202"/>
      <c r="B148" s="1476" t="s">
        <v>288</v>
      </c>
      <c r="C148" s="1477"/>
      <c r="D148" s="1478"/>
      <c r="E148" s="1469" t="str">
        <f t="shared" si="11"/>
        <v>가일반전체</v>
      </c>
      <c r="F148" s="1470"/>
      <c r="G148" s="1471">
        <f>VLOOKUP($B148,계산도구!$A$2:$G$529,4,FALSE)+VLOOKUP($B148,계산도구!$A$2:$G$529,5,FALSE)+VLOOKUP($B148,계산도구!$A$2:$G$529,6,FALSE)+VLOOKUP($B148,계산도구!$A$2:$G$529,7,FALSE)</f>
        <v>624.57706567818673</v>
      </c>
      <c r="H148" s="1472"/>
      <c r="I148" s="1473"/>
      <c r="J148" s="1479" t="str">
        <f t="shared" si="12"/>
        <v>+학생부</v>
      </c>
      <c r="K148" s="1480"/>
      <c r="L148" s="201"/>
    </row>
    <row r="149" spans="1:12" s="198" customFormat="1" ht="20.100000000000001" customHeight="1">
      <c r="A149" s="1294"/>
      <c r="B149" s="1476" t="s">
        <v>722</v>
      </c>
      <c r="C149" s="1477"/>
      <c r="D149" s="1478"/>
      <c r="E149" s="1469" t="str">
        <f t="shared" si="11"/>
        <v>가우선,나다군전체</v>
      </c>
      <c r="F149" s="1470"/>
      <c r="G149" s="1471">
        <f>G148*10/7</f>
        <v>892.25295096883826</v>
      </c>
      <c r="H149" s="1472"/>
      <c r="I149" s="1473"/>
      <c r="J149" s="1479" t="str">
        <f t="shared" si="12"/>
        <v>수능100%</v>
      </c>
      <c r="K149" s="1480"/>
      <c r="L149" s="1293"/>
    </row>
    <row r="150" spans="1:12" s="198" customFormat="1" ht="20.100000000000001" customHeight="1">
      <c r="A150" s="202"/>
      <c r="B150" s="1476" t="s">
        <v>220</v>
      </c>
      <c r="C150" s="1477"/>
      <c r="D150" s="1478"/>
      <c r="E150" s="1469" t="str">
        <f t="shared" si="11"/>
        <v>전체</v>
      </c>
      <c r="F150" s="1470"/>
      <c r="G150" s="1471">
        <f>VLOOKUP($B150,계산도구!$A$2:$G$529,4,FALSE)+VLOOKUP($B150,계산도구!$A$2:$G$529,5,FALSE)+VLOOKUP($B150,계산도구!$A$2:$G$529,6,FALSE)+VLOOKUP($B150,계산도구!$A$2:$G$529,7,FALSE)</f>
        <v>506.38989769820978</v>
      </c>
      <c r="H150" s="1472"/>
      <c r="I150" s="1473"/>
      <c r="J150" s="1479" t="str">
        <f t="shared" si="12"/>
        <v>+학생부</v>
      </c>
      <c r="K150" s="1480"/>
      <c r="L150" s="201"/>
    </row>
    <row r="151" spans="1:12" s="198" customFormat="1" ht="20.100000000000001" customHeight="1">
      <c r="A151" s="202"/>
      <c r="B151" s="1476" t="s">
        <v>285</v>
      </c>
      <c r="C151" s="1477"/>
      <c r="D151" s="1478"/>
      <c r="E151" s="1469" t="str">
        <f>IF(B151="항공대1","나)운항,교통,물류,법등",IF(B151="항공대2","나)경영,영어",IF(B151="항공대3","다)운항,교통,물류,법등",IF(B151="항공대4","다)경영,영어",IF(B151="한양대안산","가일반전체",IF(B151="한양대안산1","가우선,나다군전체",IF(B151="중앙대안성","가군전체",IF(B151="중앙대안성1","나군전체",IF(B151="경희대국제1","국제학과",IF(B151="경희대국제2","외국어대학",IF(B151="경희대국제3","자연2그룹",IF(B151="경기대","가군전체",IF(B151="경기대1","다군전체",IF(B151="수원대2","자연",IF(B151="안양대1","나군전체",IF(B151="안양대2","나군자연",IF(B151="안양대3","다군전체",IF(B151="안양대4","다군자연",IF(B151="고려대세종1","인문전체",IF(B151="고려대세종2","경상대,공공행정학부",IF(B151="연세대원주1","인문전체",IF(B151="연세대원주2","사회과학대",IF(B151="충북대","가군전체",IF(B151="충북대1","나군전체",IF(B151="경상대","가군전체",IF(B151="경상대1","다군전체",IF(B151="부산대2","생활환경",IF(B151="부산대3","생명자원",IF(B151="전남대1","나군전체",IF(B151="전남대2","나군인문대학",IF(B151="전남대3","나군생활환경,농생명",IF(B151="전남대4","가군전체",IF(B151="전남대5","가군인문대학",IF(B151="전남대6","가군생활환경,농생명",IF(B151="영남대","다군전체",IF(B151="영남대1","가군전체","전체"))))))))))))))))))))))))))))))))))))</f>
        <v>가군전체</v>
      </c>
      <c r="F151" s="1470"/>
      <c r="G151" s="1471">
        <f>VLOOKUP($B151,계산도구!$A$2:$G$529,4,FALSE)+VLOOKUP($B151,계산도구!$A$2:$G$529,5,FALSE)+VLOOKUP($B151,계산도구!$A$2:$G$529,6,FALSE)+VLOOKUP($B151,계산도구!$A$2:$G$529,7,FALSE)</f>
        <v>628.47031472166327</v>
      </c>
      <c r="H151" s="1472"/>
      <c r="I151" s="1473"/>
      <c r="J151" s="1479" t="str">
        <f t="shared" si="12"/>
        <v>+학생부</v>
      </c>
      <c r="K151" s="1480"/>
      <c r="L151" s="201"/>
    </row>
    <row r="152" spans="1:12" s="198" customFormat="1" ht="20.100000000000001" customHeight="1">
      <c r="A152" s="1294"/>
      <c r="B152" s="1476" t="s">
        <v>723</v>
      </c>
      <c r="C152" s="1477"/>
      <c r="D152" s="1478"/>
      <c r="E152" s="1469" t="str">
        <f t="shared" ref="E152:E184" si="13">IF(B152="항공대1","나)운항,교통,물류,법등",IF(B152="항공대2","나)경영,영어",IF(B152="항공대3","다)운항,교통,물류,법등",IF(B152="항공대4","다)경영,영어",IF(B152="한양대안산","가일반전체",IF(B152="한양대안산1","가우선,나다군전체",IF(B152="중앙대안성","가군전체",IF(B152="중앙대안성1","나군전체",IF(B152="경희대국제1","국제학과",IF(B152="경희대국제2","외국어대학",IF(B152="경희대국제3","자연2그룹",IF(B152="경기대","가군전체",IF(B152="경기대1","다군전체",IF(B152="수원대2","자연",IF(B152="안양대1","나군전체",IF(B152="안양대2","나군자연",IF(B152="안양대3","다군전체",IF(B152="안양대4","다군자연",IF(B152="고려대세종1","인문전체",IF(B152="고려대세종2","경상대,공공행정학부",IF(B152="연세대원주1","인문전체",IF(B152="연세대원주2","사회과학대",IF(B152="충북대","가군전체",IF(B152="충북대1","나군전체",IF(B152="경상대","가군전체",IF(B152="경상대1","다군전체",IF(B152="부산대2","생활환경",IF(B152="부산대3","생명자원",IF(B152="전남대1","나군전체",IF(B152="전남대2","나군인문대학",IF(B152="전남대3","나군생활환경,농생명",IF(B152="전남대4","가군전체",IF(B152="전남대5","가군인문대학",IF(B152="전남대6","가군생활환경,농생명",IF(B152="영남대","다군전체",IF(B152="영남대1","가군전체","전체"))))))))))))))))))))))))))))))))))))</f>
        <v>나군전체</v>
      </c>
      <c r="F152" s="1470"/>
      <c r="G152" s="1471">
        <f>G151*10/7</f>
        <v>897.81473531666177</v>
      </c>
      <c r="H152" s="1472"/>
      <c r="I152" s="1473"/>
      <c r="J152" s="1479" t="str">
        <f t="shared" si="12"/>
        <v>수능100%</v>
      </c>
      <c r="K152" s="1480"/>
      <c r="L152" s="1293"/>
    </row>
    <row r="153" spans="1:12" s="198" customFormat="1" ht="20.100000000000001" customHeight="1">
      <c r="A153" s="606"/>
      <c r="B153" s="1476" t="s">
        <v>229</v>
      </c>
      <c r="C153" s="1477"/>
      <c r="D153" s="1478"/>
      <c r="E153" s="1469" t="str">
        <f t="shared" si="13"/>
        <v>국제학과</v>
      </c>
      <c r="F153" s="1470"/>
      <c r="G153" s="1471">
        <f>VLOOKUP($B153,계산도구!$A$2:$G$529,4,FALSE)+VLOOKUP($B153,계산도구!$A$2:$G$529,5,FALSE)+VLOOKUP($B153,계산도구!$A$2:$G$529,6,FALSE)+VLOOKUP($B153,계산도구!$A$2:$G$529,7,FALSE)</f>
        <v>626.10924241098769</v>
      </c>
      <c r="H153" s="1472"/>
      <c r="I153" s="1473"/>
      <c r="J153" s="1479" t="str">
        <f t="shared" si="12"/>
        <v>+학생부</v>
      </c>
      <c r="K153" s="1480"/>
      <c r="L153" s="605"/>
    </row>
    <row r="154" spans="1:12" s="198" customFormat="1" ht="20.100000000000001" customHeight="1">
      <c r="A154" s="606"/>
      <c r="B154" s="1476" t="s">
        <v>230</v>
      </c>
      <c r="C154" s="1477"/>
      <c r="D154" s="1478"/>
      <c r="E154" s="1469" t="str">
        <f t="shared" si="13"/>
        <v>외국어대학</v>
      </c>
      <c r="F154" s="1470"/>
      <c r="G154" s="1471">
        <f>VLOOKUP($B154,계산도구!$A$2:$G$529,4,FALSE)+VLOOKUP($B154,계산도구!$A$2:$G$529,5,FALSE)+VLOOKUP($B154,계산도구!$A$2:$G$529,6,FALSE)+VLOOKUP($B154,계산도구!$A$2:$G$529,7,FALSE)</f>
        <v>624.26400431574962</v>
      </c>
      <c r="H154" s="1472"/>
      <c r="I154" s="1473"/>
      <c r="J154" s="1479" t="str">
        <f t="shared" si="12"/>
        <v>+학생부</v>
      </c>
      <c r="K154" s="1480"/>
      <c r="L154" s="605"/>
    </row>
    <row r="155" spans="1:12" s="198" customFormat="1" ht="20.100000000000001" customHeight="1">
      <c r="A155" s="606"/>
      <c r="B155" s="1476" t="s">
        <v>231</v>
      </c>
      <c r="C155" s="1477"/>
      <c r="D155" s="1478"/>
      <c r="E155" s="1469" t="str">
        <f t="shared" si="13"/>
        <v>자연2그룹</v>
      </c>
      <c r="F155" s="1470"/>
      <c r="G155" s="1471">
        <f>VLOOKUP($B155,계산도구!$A$2:$G$529,4,FALSE)+VLOOKUP($B155,계산도구!$A$2:$G$529,5,FALSE)+VLOOKUP($B155,계산도구!$A$2:$G$529,6,FALSE)+VLOOKUP($B155,계산도구!$A$2:$G$529,7,FALSE)</f>
        <v>626.10924241098769</v>
      </c>
      <c r="H155" s="1472"/>
      <c r="I155" s="1473"/>
      <c r="J155" s="1479" t="str">
        <f t="shared" si="12"/>
        <v>+학생부</v>
      </c>
      <c r="K155" s="1480"/>
      <c r="L155" s="605"/>
    </row>
    <row r="156" spans="1:12" s="198" customFormat="1" ht="20.100000000000001" customHeight="1">
      <c r="A156" s="1145"/>
      <c r="B156" s="1476" t="s">
        <v>219</v>
      </c>
      <c r="C156" s="1477"/>
      <c r="D156" s="1478"/>
      <c r="E156" s="1469" t="str">
        <f t="shared" si="13"/>
        <v>가군전체</v>
      </c>
      <c r="F156" s="1470"/>
      <c r="G156" s="1471">
        <f>VLOOKUP($B156,계산도구!$A$2:$G$529,4,FALSE)+VLOOKUP($B156,계산도구!$A$2:$G$529,5,FALSE)+VLOOKUP($B156,계산도구!$A$2:$G$529,6,FALSE)+VLOOKUP($B156,계산도구!$A$2:$G$529,7,FALSE)</f>
        <v>427.5</v>
      </c>
      <c r="H156" s="1472"/>
      <c r="I156" s="1473"/>
      <c r="J156" s="1479" t="str">
        <f t="shared" si="12"/>
        <v>+학생부</v>
      </c>
      <c r="K156" s="1480"/>
      <c r="L156" s="1144"/>
    </row>
    <row r="157" spans="1:12" s="198" customFormat="1" ht="20.100000000000001" customHeight="1">
      <c r="A157" s="1241"/>
      <c r="B157" s="1476" t="s">
        <v>478</v>
      </c>
      <c r="C157" s="1477"/>
      <c r="D157" s="1478"/>
      <c r="E157" s="1469" t="str">
        <f t="shared" si="13"/>
        <v>다군전체</v>
      </c>
      <c r="F157" s="1470"/>
      <c r="G157" s="1471">
        <f>G156*10/5</f>
        <v>855</v>
      </c>
      <c r="H157" s="1472"/>
      <c r="I157" s="1473"/>
      <c r="J157" s="1479" t="str">
        <f t="shared" si="12"/>
        <v>수능100%</v>
      </c>
      <c r="K157" s="1480"/>
      <c r="L157" s="1240"/>
    </row>
    <row r="158" spans="1:12" s="198" customFormat="1" ht="20.100000000000001" customHeight="1">
      <c r="A158" s="202"/>
      <c r="B158" s="1476" t="s">
        <v>313</v>
      </c>
      <c r="C158" s="1477"/>
      <c r="D158" s="1478"/>
      <c r="E158" s="1469" t="str">
        <f t="shared" si="13"/>
        <v>전체</v>
      </c>
      <c r="F158" s="1470"/>
      <c r="G158" s="1471">
        <f>VLOOKUP($B158,계산도구!$A$2:$G$529,4,FALSE)+VLOOKUP($B158,계산도구!$A$2:$G$529,5,FALSE)+VLOOKUP($B158,계산도구!$A$2:$G$529,6,FALSE)+VLOOKUP($B158,계산도구!$A$2:$G$529,7,FALSE)</f>
        <v>599.20000000000005</v>
      </c>
      <c r="H158" s="1472"/>
      <c r="I158" s="1473"/>
      <c r="J158" s="1479" t="str">
        <f t="shared" si="12"/>
        <v>+학생부</v>
      </c>
      <c r="K158" s="1480"/>
      <c r="L158" s="201"/>
    </row>
    <row r="159" spans="1:12" s="198" customFormat="1" ht="20.100000000000001" customHeight="1">
      <c r="A159" s="1028"/>
      <c r="B159" s="1476" t="s">
        <v>314</v>
      </c>
      <c r="C159" s="1477"/>
      <c r="D159" s="1478"/>
      <c r="E159" s="1469" t="str">
        <f t="shared" si="13"/>
        <v>자연</v>
      </c>
      <c r="F159" s="1470"/>
      <c r="G159" s="1471">
        <f>VLOOKUP($B159,계산도구!$A$2:$G$529,4,FALSE)+VLOOKUP($B159,계산도구!$A$2:$G$529,5,FALSE)+VLOOKUP($B159,계산도구!$A$2:$G$529,6,FALSE)+VLOOKUP($B159,계산도구!$A$2:$G$529,7,FALSE)</f>
        <v>610.40000000000009</v>
      </c>
      <c r="H159" s="1472"/>
      <c r="I159" s="1473"/>
      <c r="J159" s="1479" t="str">
        <f t="shared" si="12"/>
        <v>+학생부</v>
      </c>
      <c r="K159" s="1480"/>
      <c r="L159" s="1027"/>
    </row>
    <row r="160" spans="1:12" s="198" customFormat="1" ht="20.100000000000001" customHeight="1">
      <c r="A160" s="202"/>
      <c r="B160" s="1476" t="s">
        <v>302</v>
      </c>
      <c r="C160" s="1477"/>
      <c r="D160" s="1478"/>
      <c r="E160" s="1469" t="str">
        <f t="shared" si="13"/>
        <v>나군전체</v>
      </c>
      <c r="F160" s="1470"/>
      <c r="G160" s="1471">
        <f>VLOOKUP($B160,계산도구!$A$2:$G$529,4,FALSE)+VLOOKUP($B160,계산도구!$A$2:$G$529,5,FALSE)+VLOOKUP($B160,계산도구!$A$2:$G$529,6,FALSE)+VLOOKUP($B160,계산도구!$A$2:$G$529,7,FALSE)</f>
        <v>418</v>
      </c>
      <c r="H160" s="1472"/>
      <c r="I160" s="1473"/>
      <c r="J160" s="1479" t="str">
        <f t="shared" si="12"/>
        <v>+학생부</v>
      </c>
      <c r="K160" s="1480"/>
      <c r="L160" s="201"/>
    </row>
    <row r="161" spans="1:12" s="198" customFormat="1" ht="20.100000000000001" customHeight="1">
      <c r="A161" s="980"/>
      <c r="B161" s="1476" t="s">
        <v>303</v>
      </c>
      <c r="C161" s="1477"/>
      <c r="D161" s="1478"/>
      <c r="E161" s="1469" t="str">
        <f t="shared" si="13"/>
        <v>나군자연</v>
      </c>
      <c r="F161" s="1470"/>
      <c r="G161" s="1471">
        <f>VLOOKUP($B161,계산도구!$A$2:$G$529,4,FALSE)+VLOOKUP($B161,계산도구!$A$2:$G$529,5,FALSE)+VLOOKUP($B161,계산도구!$A$2:$G$529,6,FALSE)+VLOOKUP($B161,계산도구!$A$2:$G$529,7,FALSE)</f>
        <v>447</v>
      </c>
      <c r="H161" s="1472"/>
      <c r="I161" s="1473"/>
      <c r="J161" s="1479" t="str">
        <f t="shared" si="12"/>
        <v>+학생부</v>
      </c>
      <c r="K161" s="1480"/>
      <c r="L161" s="979"/>
    </row>
    <row r="162" spans="1:12" s="198" customFormat="1" ht="20.100000000000001" customHeight="1">
      <c r="A162" s="1241"/>
      <c r="B162" s="1476" t="s">
        <v>479</v>
      </c>
      <c r="C162" s="1477"/>
      <c r="D162" s="1478"/>
      <c r="E162" s="1469" t="str">
        <f t="shared" si="13"/>
        <v>다군전체</v>
      </c>
      <c r="F162" s="1470"/>
      <c r="G162" s="1471">
        <f>G160*10/5</f>
        <v>836</v>
      </c>
      <c r="H162" s="1472"/>
      <c r="I162" s="1473"/>
      <c r="J162" s="1479" t="str">
        <f t="shared" si="12"/>
        <v>수능100%</v>
      </c>
      <c r="K162" s="1480"/>
      <c r="L162" s="1240"/>
    </row>
    <row r="163" spans="1:12" s="198" customFormat="1" ht="20.100000000000001" customHeight="1">
      <c r="A163" s="1241"/>
      <c r="B163" s="1476" t="s">
        <v>480</v>
      </c>
      <c r="C163" s="1477"/>
      <c r="D163" s="1478"/>
      <c r="E163" s="1469" t="str">
        <f t="shared" si="13"/>
        <v>다군자연</v>
      </c>
      <c r="F163" s="1470"/>
      <c r="G163" s="1471">
        <f>G161*10/5</f>
        <v>894</v>
      </c>
      <c r="H163" s="1472"/>
      <c r="I163" s="1473"/>
      <c r="J163" s="1479" t="str">
        <f t="shared" si="12"/>
        <v>수능100%</v>
      </c>
      <c r="K163" s="1480"/>
      <c r="L163" s="1240"/>
    </row>
    <row r="164" spans="1:12" s="198" customFormat="1" ht="20.100000000000001" customHeight="1">
      <c r="A164" s="1145"/>
      <c r="B164" s="1476" t="s">
        <v>418</v>
      </c>
      <c r="C164" s="1477"/>
      <c r="D164" s="1478"/>
      <c r="E164" s="1469" t="str">
        <f t="shared" si="13"/>
        <v>인문전체</v>
      </c>
      <c r="F164" s="1470"/>
      <c r="G164" s="1471">
        <f>VLOOKUP($B164,계산도구!$A$2:$G$529,4,FALSE)+VLOOKUP($B164,계산도구!$A$2:$G$529,5,FALSE)+VLOOKUP($B164,계산도구!$A$2:$G$529,6,FALSE)+VLOOKUP($B164,계산도구!$A$2:$G$529,7,FALSE)</f>
        <v>823.68068905725818</v>
      </c>
      <c r="H164" s="1472"/>
      <c r="I164" s="1473"/>
      <c r="J164" s="1479" t="str">
        <f t="shared" si="12"/>
        <v>+학생부</v>
      </c>
      <c r="K164" s="1480"/>
      <c r="L164" s="1144"/>
    </row>
    <row r="165" spans="1:12" s="198" customFormat="1" ht="20.100000000000001" customHeight="1">
      <c r="A165" s="1145"/>
      <c r="B165" s="1476" t="s">
        <v>419</v>
      </c>
      <c r="C165" s="1477"/>
      <c r="D165" s="1478"/>
      <c r="E165" s="1469" t="str">
        <f t="shared" si="13"/>
        <v>경상대,공공행정학부</v>
      </c>
      <c r="F165" s="1470"/>
      <c r="G165" s="1471">
        <f>VLOOKUP($B165,계산도구!$A$2:$G$529,4,FALSE)+VLOOKUP($B165,계산도구!$A$2:$G$529,5,FALSE)+VLOOKUP($B165,계산도구!$A$2:$G$529,6,FALSE)+VLOOKUP($B165,계산도구!$A$2:$G$529,7,FALSE)</f>
        <v>845.54918009716209</v>
      </c>
      <c r="H165" s="1472"/>
      <c r="I165" s="1473"/>
      <c r="J165" s="1479" t="str">
        <f t="shared" si="12"/>
        <v>+학생부</v>
      </c>
      <c r="K165" s="1480"/>
      <c r="L165" s="1144"/>
    </row>
    <row r="166" spans="1:12" s="198" customFormat="1" ht="20.100000000000001" customHeight="1">
      <c r="A166" s="1145"/>
      <c r="B166" s="1476" t="s">
        <v>423</v>
      </c>
      <c r="C166" s="1477"/>
      <c r="D166" s="1478"/>
      <c r="E166" s="1469" t="str">
        <f t="shared" si="13"/>
        <v>인문전체</v>
      </c>
      <c r="F166" s="1470"/>
      <c r="G166" s="1471">
        <f>VLOOKUP($B166,계산도구!$A$2:$G$529,4,FALSE)+VLOOKUP($B166,계산도구!$A$2:$G$529,5,FALSE)+VLOOKUP($B166,계산도구!$A$2:$G$529,6,FALSE)+VLOOKUP($B166,계산도구!$A$2:$G$529,7,FALSE)</f>
        <v>314.26666666666665</v>
      </c>
      <c r="H166" s="1472"/>
      <c r="I166" s="1473"/>
      <c r="J166" s="1479" t="str">
        <f t="shared" si="12"/>
        <v>+학생부</v>
      </c>
      <c r="K166" s="1480"/>
      <c r="L166" s="1144"/>
    </row>
    <row r="167" spans="1:12" s="198" customFormat="1" ht="20.100000000000001" customHeight="1">
      <c r="A167" s="1145"/>
      <c r="B167" s="1476" t="s">
        <v>424</v>
      </c>
      <c r="C167" s="1477"/>
      <c r="D167" s="1478"/>
      <c r="E167" s="1469" t="str">
        <f t="shared" si="13"/>
        <v>사회과학대</v>
      </c>
      <c r="F167" s="1470"/>
      <c r="G167" s="1471">
        <f>VLOOKUP($B167,계산도구!$A$2:$G$529,4,FALSE)+VLOOKUP($B167,계산도구!$A$2:$G$529,5,FALSE)+VLOOKUP($B167,계산도구!$A$2:$G$529,6,FALSE)+VLOOKUP($B167,계산도구!$A$2:$G$529,7,FALSE)</f>
        <v>322.57499999999999</v>
      </c>
      <c r="H167" s="1472"/>
      <c r="I167" s="1473"/>
      <c r="J167" s="1479" t="str">
        <f t="shared" si="12"/>
        <v>+학생부</v>
      </c>
      <c r="K167" s="1480"/>
      <c r="L167" s="1144"/>
    </row>
    <row r="168" spans="1:12" s="198" customFormat="1" ht="20.100000000000001" customHeight="1">
      <c r="A168" s="202"/>
      <c r="B168" s="1476" t="s">
        <v>218</v>
      </c>
      <c r="C168" s="1477"/>
      <c r="D168" s="1478"/>
      <c r="E168" s="1469" t="str">
        <f t="shared" si="13"/>
        <v>전체</v>
      </c>
      <c r="F168" s="1470"/>
      <c r="G168" s="1471">
        <f>VLOOKUP($B168,계산도구!$A$2:$G$529,4,FALSE)+VLOOKUP($B168,계산도구!$A$2:$G$529,5,FALSE)+VLOOKUP($B168,계산도구!$A$2:$G$529,6,FALSE)+VLOOKUP($B168,계산도구!$A$2:$G$529,7,FALSE)</f>
        <v>188.76</v>
      </c>
      <c r="H168" s="1472"/>
      <c r="I168" s="1473"/>
      <c r="J168" s="1479" t="str">
        <f t="shared" si="12"/>
        <v>+학생부</v>
      </c>
      <c r="K168" s="1480"/>
      <c r="L168" s="201"/>
    </row>
    <row r="169" spans="1:12" s="198" customFormat="1" ht="20.100000000000001" customHeight="1">
      <c r="A169" s="202"/>
      <c r="B169" s="1476" t="s">
        <v>221</v>
      </c>
      <c r="C169" s="1477"/>
      <c r="D169" s="1478"/>
      <c r="E169" s="1469" t="str">
        <f t="shared" si="13"/>
        <v>가군전체</v>
      </c>
      <c r="F169" s="1470"/>
      <c r="G169" s="1471">
        <f>VLOOKUP($B169,계산도구!$A$2:$G$529,4,FALSE)+VLOOKUP($B169,계산도구!$A$2:$G$529,5,FALSE)+VLOOKUP($B169,계산도구!$A$2:$G$529,6,FALSE)+VLOOKUP($B169,계산도구!$A$2:$G$529,7,FALSE)</f>
        <v>576.4</v>
      </c>
      <c r="H169" s="1472"/>
      <c r="I169" s="1473"/>
      <c r="J169" s="1479" t="str">
        <f t="shared" si="12"/>
        <v>+학생부</v>
      </c>
      <c r="K169" s="1480"/>
      <c r="L169" s="201"/>
    </row>
    <row r="170" spans="1:12" s="198" customFormat="1" ht="20.100000000000001" customHeight="1">
      <c r="A170" s="1241"/>
      <c r="B170" s="1476" t="s">
        <v>481</v>
      </c>
      <c r="C170" s="1477"/>
      <c r="D170" s="1478"/>
      <c r="E170" s="1469" t="str">
        <f t="shared" si="13"/>
        <v>나군전체</v>
      </c>
      <c r="F170" s="1470"/>
      <c r="G170" s="1471">
        <f>G169+400</f>
        <v>976.4</v>
      </c>
      <c r="H170" s="1472"/>
      <c r="I170" s="1473"/>
      <c r="J170" s="1479" t="str">
        <f t="shared" si="12"/>
        <v>수능100%</v>
      </c>
      <c r="K170" s="1480"/>
      <c r="L170" s="1240"/>
    </row>
    <row r="171" spans="1:12" s="198" customFormat="1" ht="20.100000000000001" customHeight="1">
      <c r="A171" s="202"/>
      <c r="B171" s="1466" t="s">
        <v>216</v>
      </c>
      <c r="C171" s="1467"/>
      <c r="D171" s="1468"/>
      <c r="E171" s="1469" t="str">
        <f t="shared" si="13"/>
        <v>가군전체</v>
      </c>
      <c r="F171" s="1470"/>
      <c r="G171" s="1471">
        <f>VLOOKUP($B171,계산도구!$A$2:$G$529,4,FALSE)+VLOOKUP($B171,계산도구!$A$2:$G$529,5,FALSE)+VLOOKUP($B171,계산도구!$A$2:$G$529,6,FALSE)+VLOOKUP($B171,계산도구!$A$2:$G$529,7,FALSE)</f>
        <v>529.19999999999993</v>
      </c>
      <c r="H171" s="1472"/>
      <c r="I171" s="1473"/>
      <c r="J171" s="1479" t="str">
        <f t="shared" si="12"/>
        <v>+학생부</v>
      </c>
      <c r="K171" s="1480"/>
      <c r="L171" s="201"/>
    </row>
    <row r="172" spans="1:12" s="198" customFormat="1" ht="20.100000000000001" customHeight="1">
      <c r="A172" s="1241"/>
      <c r="B172" s="1466" t="s">
        <v>482</v>
      </c>
      <c r="C172" s="1467"/>
      <c r="D172" s="1468"/>
      <c r="E172" s="1469" t="str">
        <f t="shared" si="13"/>
        <v>다군전체</v>
      </c>
      <c r="F172" s="1470"/>
      <c r="G172" s="1471">
        <f>G171*10/6</f>
        <v>881.99999999999989</v>
      </c>
      <c r="H172" s="1472"/>
      <c r="I172" s="1473"/>
      <c r="J172" s="1479" t="str">
        <f t="shared" si="12"/>
        <v>수능100%</v>
      </c>
      <c r="K172" s="1480"/>
      <c r="L172" s="1240"/>
    </row>
    <row r="173" spans="1:12" s="198" customFormat="1" ht="20.100000000000001" customHeight="1">
      <c r="A173" s="202"/>
      <c r="B173" s="1466" t="s">
        <v>212</v>
      </c>
      <c r="C173" s="1467"/>
      <c r="D173" s="1468"/>
      <c r="E173" s="1469" t="str">
        <f t="shared" si="13"/>
        <v>전체</v>
      </c>
      <c r="F173" s="1470"/>
      <c r="G173" s="1471">
        <f>VLOOKUP($B173,계산도구!$A$2:$G$529,4,FALSE)+VLOOKUP($B173,계산도구!$A$2:$G$529,5,FALSE)+VLOOKUP($B173,계산도구!$A$2:$G$529,6,FALSE)+VLOOKUP($B173,계산도구!$A$2:$G$529,7,FALSE)</f>
        <v>712.17096869320142</v>
      </c>
      <c r="H173" s="1472"/>
      <c r="I173" s="1473"/>
      <c r="J173" s="1479" t="str">
        <f t="shared" si="12"/>
        <v>+학생부</v>
      </c>
      <c r="K173" s="1480"/>
      <c r="L173" s="201"/>
    </row>
    <row r="174" spans="1:12" s="198" customFormat="1" ht="20.100000000000001" customHeight="1">
      <c r="A174" s="505"/>
      <c r="B174" s="1466" t="s">
        <v>246</v>
      </c>
      <c r="C174" s="1467"/>
      <c r="D174" s="1468"/>
      <c r="E174" s="1469" t="str">
        <f t="shared" si="13"/>
        <v>전체</v>
      </c>
      <c r="F174" s="1470"/>
      <c r="G174" s="1471">
        <f>VLOOKUP($B174,계산도구!$A$2:$G$529,4,FALSE)+VLOOKUP($B174,계산도구!$A$2:$G$529,5,FALSE)+VLOOKUP($B174,계산도구!$A$2:$G$529,6,FALSE)+VLOOKUP($B174,계산도구!$A$2:$G$529,7,FALSE)</f>
        <v>283.35000000000002</v>
      </c>
      <c r="H174" s="1472"/>
      <c r="I174" s="1473"/>
      <c r="J174" s="1479" t="str">
        <f t="shared" si="12"/>
        <v>+학생부</v>
      </c>
      <c r="K174" s="1480"/>
      <c r="L174" s="504"/>
    </row>
    <row r="175" spans="1:12" s="198" customFormat="1" ht="20.100000000000001" customHeight="1">
      <c r="A175" s="690"/>
      <c r="B175" s="1466" t="s">
        <v>247</v>
      </c>
      <c r="C175" s="1467"/>
      <c r="D175" s="1468"/>
      <c r="E175" s="1469" t="str">
        <f t="shared" si="13"/>
        <v>생활환경</v>
      </c>
      <c r="F175" s="1470"/>
      <c r="G175" s="1471">
        <f>VLOOKUP($B175,계산도구!$A$2:$G$529,4,FALSE)+VLOOKUP($B175,계산도구!$A$2:$G$529,5,FALSE)+VLOOKUP($B175,계산도구!$A$2:$G$529,6,FALSE)+VLOOKUP($B175,계산도구!$A$2:$G$529,7,FALSE)</f>
        <v>286.5</v>
      </c>
      <c r="H175" s="1472"/>
      <c r="I175" s="1473"/>
      <c r="J175" s="1479" t="str">
        <f t="shared" si="12"/>
        <v>+학생부</v>
      </c>
      <c r="K175" s="1480"/>
      <c r="L175" s="689"/>
    </row>
    <row r="176" spans="1:12" s="198" customFormat="1" ht="20.100000000000001" customHeight="1">
      <c r="A176" s="690"/>
      <c r="B176" s="1466" t="s">
        <v>250</v>
      </c>
      <c r="C176" s="1467"/>
      <c r="D176" s="1468"/>
      <c r="E176" s="1469" t="str">
        <f t="shared" si="13"/>
        <v>생명자원</v>
      </c>
      <c r="F176" s="1470"/>
      <c r="G176" s="1471">
        <f>VLOOKUP($B176,계산도구!$A$2:$G$529,4,FALSE)+VLOOKUP($B176,계산도구!$A$2:$G$529,5,FALSE)+VLOOKUP($B176,계산도구!$A$2:$G$529,6,FALSE)+VLOOKUP($B176,계산도구!$A$2:$G$529,7,FALSE)</f>
        <v>288</v>
      </c>
      <c r="H176" s="1472"/>
      <c r="I176" s="1473"/>
      <c r="J176" s="1479" t="str">
        <f t="shared" si="12"/>
        <v>+학생부</v>
      </c>
      <c r="K176" s="1480"/>
      <c r="L176" s="689"/>
    </row>
    <row r="177" spans="1:42" s="198" customFormat="1" ht="20.100000000000001" customHeight="1">
      <c r="A177" s="1130"/>
      <c r="B177" s="1476" t="s">
        <v>408</v>
      </c>
      <c r="C177" s="1477"/>
      <c r="D177" s="1478"/>
      <c r="E177" s="1469" t="str">
        <f t="shared" si="13"/>
        <v>나군전체</v>
      </c>
      <c r="F177" s="1470"/>
      <c r="G177" s="1471">
        <f>VLOOKUP($B177,계산도구!$A$2:$G$529,4,FALSE)+VLOOKUP($B177,계산도구!$A$2:$G$529,5,FALSE)+VLOOKUP($B177,계산도구!$A$2:$G$529,6,FALSE)+VLOOKUP($B177,계산도구!$A$2:$G$529,7,FALSE)</f>
        <v>443.77876266534594</v>
      </c>
      <c r="H177" s="1472"/>
      <c r="I177" s="1473"/>
      <c r="J177" s="1479" t="str">
        <f t="shared" si="12"/>
        <v>+학생부</v>
      </c>
      <c r="K177" s="1480"/>
      <c r="L177" s="1129"/>
    </row>
    <row r="178" spans="1:42" s="198" customFormat="1" ht="20.100000000000001" customHeight="1">
      <c r="A178" s="1130"/>
      <c r="B178" s="1476" t="s">
        <v>409</v>
      </c>
      <c r="C178" s="1477"/>
      <c r="D178" s="1478"/>
      <c r="E178" s="1469" t="str">
        <f t="shared" si="13"/>
        <v>나군인문대학</v>
      </c>
      <c r="F178" s="1470"/>
      <c r="G178" s="1471">
        <f>VLOOKUP($B178,계산도구!$A$2:$G$529,4,FALSE)+VLOOKUP($B178,계산도구!$A$2:$G$529,5,FALSE)+VLOOKUP($B178,계산도구!$A$2:$G$529,6,FALSE)+VLOOKUP($B178,계산도구!$A$2:$G$529,7,FALSE)</f>
        <v>443.77876266534594</v>
      </c>
      <c r="H178" s="1472"/>
      <c r="I178" s="1473"/>
      <c r="J178" s="1479" t="str">
        <f t="shared" si="12"/>
        <v>+학생부</v>
      </c>
      <c r="K178" s="1480"/>
      <c r="L178" s="1129"/>
    </row>
    <row r="179" spans="1:42" s="198" customFormat="1" ht="20.100000000000001" customHeight="1">
      <c r="A179" s="505"/>
      <c r="B179" s="1476" t="s">
        <v>413</v>
      </c>
      <c r="C179" s="1477"/>
      <c r="D179" s="1478"/>
      <c r="E179" s="1469" t="str">
        <f t="shared" si="13"/>
        <v>나군생활환경,농생명</v>
      </c>
      <c r="F179" s="1470"/>
      <c r="G179" s="1471">
        <f>VLOOKUP($B179,계산도구!$A$2:$G$529,4,FALSE)+VLOOKUP($B179,계산도구!$A$2:$G$529,5,FALSE)+VLOOKUP($B179,계산도구!$A$2:$G$529,6,FALSE)+VLOOKUP($B179,계산도구!$A$2:$G$529,7,FALSE)</f>
        <v>444.43777627078811</v>
      </c>
      <c r="H179" s="1472"/>
      <c r="I179" s="1473"/>
      <c r="J179" s="1479" t="str">
        <f t="shared" si="12"/>
        <v>+학생부</v>
      </c>
      <c r="K179" s="1480"/>
      <c r="L179" s="504"/>
    </row>
    <row r="180" spans="1:42" s="198" customFormat="1" ht="20.100000000000001" customHeight="1">
      <c r="A180" s="1241"/>
      <c r="B180" s="1476" t="s">
        <v>483</v>
      </c>
      <c r="C180" s="1477"/>
      <c r="D180" s="1478"/>
      <c r="E180" s="1469" t="str">
        <f t="shared" si="13"/>
        <v>가군전체</v>
      </c>
      <c r="F180" s="1470"/>
      <c r="G180" s="1471">
        <f>G177*10/5</f>
        <v>887.55752533069187</v>
      </c>
      <c r="H180" s="1472"/>
      <c r="I180" s="1473"/>
      <c r="J180" s="1479" t="str">
        <f t="shared" si="12"/>
        <v>수능100%</v>
      </c>
      <c r="K180" s="1480"/>
      <c r="L180" s="1240"/>
    </row>
    <row r="181" spans="1:42" s="198" customFormat="1" ht="20.100000000000001" customHeight="1">
      <c r="A181" s="1241"/>
      <c r="B181" s="1476" t="s">
        <v>484</v>
      </c>
      <c r="C181" s="1477"/>
      <c r="D181" s="1478"/>
      <c r="E181" s="1469" t="str">
        <f t="shared" si="13"/>
        <v>가군인문대학</v>
      </c>
      <c r="F181" s="1470"/>
      <c r="G181" s="1471">
        <f>G178*10/5</f>
        <v>887.55752533069187</v>
      </c>
      <c r="H181" s="1472"/>
      <c r="I181" s="1473"/>
      <c r="J181" s="1479" t="str">
        <f t="shared" si="12"/>
        <v>수능100%</v>
      </c>
      <c r="K181" s="1480"/>
      <c r="L181" s="1240"/>
    </row>
    <row r="182" spans="1:42" s="198" customFormat="1" ht="20.100000000000001" customHeight="1">
      <c r="A182" s="1241"/>
      <c r="B182" s="1476" t="s">
        <v>485</v>
      </c>
      <c r="C182" s="1477"/>
      <c r="D182" s="1478"/>
      <c r="E182" s="1469" t="str">
        <f t="shared" si="13"/>
        <v>가군생활환경,농생명</v>
      </c>
      <c r="F182" s="1470"/>
      <c r="G182" s="1471">
        <f>G179*10/5</f>
        <v>888.8755525415761</v>
      </c>
      <c r="H182" s="1472"/>
      <c r="I182" s="1473"/>
      <c r="J182" s="1479" t="str">
        <f t="shared" si="12"/>
        <v>수능100%</v>
      </c>
      <c r="K182" s="1480"/>
      <c r="L182" s="1240"/>
    </row>
    <row r="183" spans="1:42" s="198" customFormat="1" ht="20.100000000000001" customHeight="1">
      <c r="A183" s="1241"/>
      <c r="B183" s="1476" t="s">
        <v>486</v>
      </c>
      <c r="C183" s="1477"/>
      <c r="D183" s="1478"/>
      <c r="E183" s="1495" t="str">
        <f t="shared" si="13"/>
        <v>다군전체</v>
      </c>
      <c r="F183" s="1496"/>
      <c r="G183" s="1471">
        <f>VLOOKUP($B183,계산도구!$A$2:$G$529,4,FALSE)+VLOOKUP($B183,계산도구!$A$2:$G$529,5,FALSE)+VLOOKUP($B183,계산도구!$A$2:$G$529,6,FALSE)+VLOOKUP($B183,계산도구!$A$2:$G$529,7,FALSE)</f>
        <v>485.94</v>
      </c>
      <c r="H183" s="1472"/>
      <c r="I183" s="1473"/>
      <c r="J183" s="1479" t="str">
        <f t="shared" si="12"/>
        <v>+학생부</v>
      </c>
      <c r="K183" s="1480"/>
      <c r="L183" s="1240"/>
    </row>
    <row r="184" spans="1:42" s="198" customFormat="1" ht="20.100000000000001" customHeight="1" thickBot="1">
      <c r="A184" s="1130"/>
      <c r="B184" s="1520" t="s">
        <v>489</v>
      </c>
      <c r="C184" s="1521"/>
      <c r="D184" s="1522"/>
      <c r="E184" s="1523" t="str">
        <f t="shared" si="13"/>
        <v>가군전체</v>
      </c>
      <c r="F184" s="1524"/>
      <c r="G184" s="1525">
        <f>G183*10/7</f>
        <v>694.19999999999993</v>
      </c>
      <c r="H184" s="1526"/>
      <c r="I184" s="1527"/>
      <c r="J184" s="1528" t="str">
        <f>IF(OR(B184="항공대3",B184="항공대4",B184="한양대안산1",B184="중앙대안성1",B184="경기대1",B184="안양대3",B184="안양대4",B184="충북대1",B184="경상대1",B184="전남대4",B184="전남대5",B184="전남대6",B184="영남대1"),"수능100%","+학생부")</f>
        <v>수능100%</v>
      </c>
      <c r="K184" s="1529"/>
      <c r="L184" s="1129"/>
    </row>
    <row r="185" spans="1:42" ht="12.75" customHeight="1" thickBot="1">
      <c r="A185" s="1583"/>
      <c r="B185" s="1584"/>
      <c r="C185" s="1584"/>
      <c r="D185" s="1584"/>
      <c r="E185" s="1584"/>
      <c r="F185" s="1584"/>
      <c r="G185" s="1584"/>
      <c r="H185" s="1584"/>
      <c r="I185" s="1584"/>
      <c r="J185" s="1584"/>
      <c r="K185" s="1584"/>
      <c r="L185" s="1585"/>
    </row>
    <row r="186" spans="1:42">
      <c r="C186" s="80"/>
      <c r="D186" s="80"/>
      <c r="E186" s="80"/>
      <c r="F186" s="80"/>
      <c r="G186" s="80"/>
      <c r="H186" s="80"/>
      <c r="I186" s="80"/>
      <c r="J186" s="80"/>
      <c r="K186" s="80"/>
      <c r="L186" s="80"/>
      <c r="M186" s="80"/>
      <c r="N186" s="80"/>
      <c r="O186" s="80"/>
      <c r="P186" s="80"/>
      <c r="Q186" s="80"/>
      <c r="R186" s="80"/>
      <c r="S186" s="80"/>
      <c r="T186" s="80"/>
      <c r="U186" s="80"/>
      <c r="V186" s="80"/>
      <c r="W186" s="80"/>
      <c r="X186" s="80"/>
      <c r="Y186" s="80"/>
      <c r="Z186" s="80"/>
      <c r="AA186" s="80"/>
      <c r="AB186" s="80"/>
      <c r="AC186" s="80"/>
      <c r="AD186" s="80"/>
      <c r="AE186" s="80"/>
      <c r="AF186" s="80"/>
      <c r="AG186" s="80"/>
      <c r="AH186" s="80"/>
      <c r="AI186" s="80"/>
      <c r="AJ186" s="80"/>
      <c r="AK186" s="80"/>
      <c r="AL186" s="80"/>
      <c r="AM186" s="80"/>
      <c r="AN186" s="80"/>
      <c r="AO186" s="80"/>
      <c r="AP186" s="80"/>
    </row>
    <row r="187" spans="1:42">
      <c r="C187" s="80"/>
      <c r="D187" s="80"/>
      <c r="E187" s="80"/>
      <c r="F187" s="80"/>
      <c r="G187" s="80"/>
      <c r="H187" s="80"/>
      <c r="I187" s="80"/>
      <c r="J187" s="80"/>
      <c r="K187" s="80"/>
      <c r="L187" s="80"/>
      <c r="M187" s="80"/>
      <c r="N187" s="80"/>
      <c r="O187" s="80"/>
      <c r="P187" s="80"/>
      <c r="Q187" s="80"/>
      <c r="R187" s="80"/>
      <c r="S187" s="80"/>
      <c r="T187" s="80"/>
      <c r="U187" s="80"/>
      <c r="V187" s="80"/>
      <c r="W187" s="80"/>
      <c r="X187" s="80"/>
      <c r="Y187" s="80"/>
      <c r="Z187" s="80"/>
      <c r="AA187" s="80"/>
      <c r="AB187" s="80"/>
    </row>
  </sheetData>
  <sheetProtection password="CA14" sheet="1" objects="1" scenarios="1"/>
  <mergeCells count="718">
    <mergeCell ref="AR3:AV6"/>
    <mergeCell ref="AP6:AQ6"/>
    <mergeCell ref="B13:D13"/>
    <mergeCell ref="E13:F13"/>
    <mergeCell ref="G13:I13"/>
    <mergeCell ref="J13:K13"/>
    <mergeCell ref="B103:D103"/>
    <mergeCell ref="E103:F103"/>
    <mergeCell ref="G103:I103"/>
    <mergeCell ref="J103:K103"/>
    <mergeCell ref="J67:K67"/>
    <mergeCell ref="B67:D67"/>
    <mergeCell ref="E67:F67"/>
    <mergeCell ref="G67:I67"/>
    <mergeCell ref="E88:F88"/>
    <mergeCell ref="G88:I88"/>
    <mergeCell ref="B79:D79"/>
    <mergeCell ref="E79:F79"/>
    <mergeCell ref="G79:I79"/>
    <mergeCell ref="B72:D72"/>
    <mergeCell ref="E72:F72"/>
    <mergeCell ref="G72:I72"/>
    <mergeCell ref="B78:D78"/>
    <mergeCell ref="E78:F78"/>
    <mergeCell ref="E161:F161"/>
    <mergeCell ref="G161:I161"/>
    <mergeCell ref="J161:K161"/>
    <mergeCell ref="J154:K154"/>
    <mergeCell ref="B155:D155"/>
    <mergeCell ref="G155:I155"/>
    <mergeCell ref="B143:K143"/>
    <mergeCell ref="B148:D148"/>
    <mergeCell ref="E148:F148"/>
    <mergeCell ref="G148:I148"/>
    <mergeCell ref="J148:K148"/>
    <mergeCell ref="J147:K147"/>
    <mergeCell ref="G147:I147"/>
    <mergeCell ref="E147:F147"/>
    <mergeCell ref="B147:D147"/>
    <mergeCell ref="B144:D144"/>
    <mergeCell ref="E144:F144"/>
    <mergeCell ref="G144:I144"/>
    <mergeCell ref="J144:K144"/>
    <mergeCell ref="G145:I145"/>
    <mergeCell ref="J145:K145"/>
    <mergeCell ref="G150:I150"/>
    <mergeCell ref="J150:K150"/>
    <mergeCell ref="B150:D150"/>
    <mergeCell ref="J123:K123"/>
    <mergeCell ref="B145:D145"/>
    <mergeCell ref="E145:F145"/>
    <mergeCell ref="E155:F155"/>
    <mergeCell ref="B142:D142"/>
    <mergeCell ref="E142:F142"/>
    <mergeCell ref="G142:I142"/>
    <mergeCell ref="B174:D174"/>
    <mergeCell ref="E174:F174"/>
    <mergeCell ref="G174:I174"/>
    <mergeCell ref="B173:D173"/>
    <mergeCell ref="E173:F173"/>
    <mergeCell ref="G173:I173"/>
    <mergeCell ref="J173:K173"/>
    <mergeCell ref="B168:D168"/>
    <mergeCell ref="E168:F168"/>
    <mergeCell ref="G168:I168"/>
    <mergeCell ref="J168:K168"/>
    <mergeCell ref="B169:D169"/>
    <mergeCell ref="E169:F169"/>
    <mergeCell ref="G169:I169"/>
    <mergeCell ref="J169:K169"/>
    <mergeCell ref="B171:D171"/>
    <mergeCell ref="B161:D161"/>
    <mergeCell ref="B123:D123"/>
    <mergeCell ref="E123:F123"/>
    <mergeCell ref="J153:K153"/>
    <mergeCell ref="B154:D154"/>
    <mergeCell ref="E154:F154"/>
    <mergeCell ref="G154:I154"/>
    <mergeCell ref="B179:D179"/>
    <mergeCell ref="E179:F179"/>
    <mergeCell ref="G179:I179"/>
    <mergeCell ref="J179:K179"/>
    <mergeCell ref="B175:D175"/>
    <mergeCell ref="B176:D176"/>
    <mergeCell ref="E176:F176"/>
    <mergeCell ref="G176:I176"/>
    <mergeCell ref="J176:K176"/>
    <mergeCell ref="E175:F175"/>
    <mergeCell ref="G175:I175"/>
    <mergeCell ref="J175:K175"/>
    <mergeCell ref="B177:D177"/>
    <mergeCell ref="E177:F177"/>
    <mergeCell ref="G177:I177"/>
    <mergeCell ref="J177:K177"/>
    <mergeCell ref="B178:D178"/>
    <mergeCell ref="G123:I123"/>
    <mergeCell ref="E178:F178"/>
    <mergeCell ref="G178:I178"/>
    <mergeCell ref="J155:K155"/>
    <mergeCell ref="J151:K151"/>
    <mergeCell ref="B158:D158"/>
    <mergeCell ref="E158:F158"/>
    <mergeCell ref="G158:I158"/>
    <mergeCell ref="J158:K158"/>
    <mergeCell ref="B153:D153"/>
    <mergeCell ref="E153:F153"/>
    <mergeCell ref="B157:D157"/>
    <mergeCell ref="E157:F157"/>
    <mergeCell ref="G157:I157"/>
    <mergeCell ref="J157:K157"/>
    <mergeCell ref="G153:I153"/>
    <mergeCell ref="B162:D162"/>
    <mergeCell ref="E162:F162"/>
    <mergeCell ref="G162:I162"/>
    <mergeCell ref="J162:K162"/>
    <mergeCell ref="B151:D151"/>
    <mergeCell ref="E151:F151"/>
    <mergeCell ref="G151:I151"/>
    <mergeCell ref="B167:D167"/>
    <mergeCell ref="E167:F167"/>
    <mergeCell ref="G77:I77"/>
    <mergeCell ref="B80:D80"/>
    <mergeCell ref="E80:F80"/>
    <mergeCell ref="G80:I80"/>
    <mergeCell ref="B75:D75"/>
    <mergeCell ref="E75:F75"/>
    <mergeCell ref="G75:I75"/>
    <mergeCell ref="E76:F76"/>
    <mergeCell ref="G76:I76"/>
    <mergeCell ref="G78:I78"/>
    <mergeCell ref="B104:D104"/>
    <mergeCell ref="E104:F104"/>
    <mergeCell ref="G104:I104"/>
    <mergeCell ref="B87:D87"/>
    <mergeCell ref="G87:I87"/>
    <mergeCell ref="B24:D24"/>
    <mergeCell ref="E24:F24"/>
    <mergeCell ref="E19:F19"/>
    <mergeCell ref="G35:I35"/>
    <mergeCell ref="G38:I38"/>
    <mergeCell ref="B39:D39"/>
    <mergeCell ref="B46:D46"/>
    <mergeCell ref="E46:F46"/>
    <mergeCell ref="G46:I46"/>
    <mergeCell ref="G26:I26"/>
    <mergeCell ref="G27:I27"/>
    <mergeCell ref="G19:I19"/>
    <mergeCell ref="G20:I20"/>
    <mergeCell ref="G23:I23"/>
    <mergeCell ref="G25:I25"/>
    <mergeCell ref="G24:I24"/>
    <mergeCell ref="B26:D26"/>
    <mergeCell ref="E26:F26"/>
    <mergeCell ref="B27:D27"/>
    <mergeCell ref="E27:F27"/>
    <mergeCell ref="B23:D23"/>
    <mergeCell ref="E23:F23"/>
    <mergeCell ref="B25:D25"/>
    <mergeCell ref="E25:F25"/>
    <mergeCell ref="J46:K46"/>
    <mergeCell ref="B42:D42"/>
    <mergeCell ref="E42:F42"/>
    <mergeCell ref="G42:I42"/>
    <mergeCell ref="J42:K42"/>
    <mergeCell ref="E39:F39"/>
    <mergeCell ref="G39:I39"/>
    <mergeCell ref="J39:K39"/>
    <mergeCell ref="J43:K43"/>
    <mergeCell ref="G44:I44"/>
    <mergeCell ref="J44:K44"/>
    <mergeCell ref="B45:D45"/>
    <mergeCell ref="E45:F45"/>
    <mergeCell ref="B29:D29"/>
    <mergeCell ref="E29:F29"/>
    <mergeCell ref="G29:I29"/>
    <mergeCell ref="B32:D32"/>
    <mergeCell ref="E32:F32"/>
    <mergeCell ref="G32:I32"/>
    <mergeCell ref="J9:K9"/>
    <mergeCell ref="J10:K10"/>
    <mergeCell ref="J11:K11"/>
    <mergeCell ref="J12:K12"/>
    <mergeCell ref="J14:K14"/>
    <mergeCell ref="J16:K16"/>
    <mergeCell ref="J17:K17"/>
    <mergeCell ref="J19:K19"/>
    <mergeCell ref="J38:K38"/>
    <mergeCell ref="J31:K31"/>
    <mergeCell ref="J34:K34"/>
    <mergeCell ref="J26:K26"/>
    <mergeCell ref="J27:K27"/>
    <mergeCell ref="J20:K20"/>
    <mergeCell ref="J23:K23"/>
    <mergeCell ref="J25:K25"/>
    <mergeCell ref="J24:K24"/>
    <mergeCell ref="J29:K29"/>
    <mergeCell ref="J32:K32"/>
    <mergeCell ref="A185:L185"/>
    <mergeCell ref="L1:L140"/>
    <mergeCell ref="A1:A140"/>
    <mergeCell ref="B35:D35"/>
    <mergeCell ref="E35:F35"/>
    <mergeCell ref="B38:D38"/>
    <mergeCell ref="E38:F38"/>
    <mergeCell ref="B31:D31"/>
    <mergeCell ref="E31:F31"/>
    <mergeCell ref="B34:D34"/>
    <mergeCell ref="E34:F34"/>
    <mergeCell ref="B28:D28"/>
    <mergeCell ref="E28:F28"/>
    <mergeCell ref="B30:D30"/>
    <mergeCell ref="E30:F30"/>
    <mergeCell ref="G28:I28"/>
    <mergeCell ref="G30:I30"/>
    <mergeCell ref="G31:I31"/>
    <mergeCell ref="G34:I34"/>
    <mergeCell ref="J28:K28"/>
    <mergeCell ref="J30:K30"/>
    <mergeCell ref="J35:K35"/>
    <mergeCell ref="B20:D20"/>
    <mergeCell ref="J18:K18"/>
    <mergeCell ref="B1:K1"/>
    <mergeCell ref="B6:D6"/>
    <mergeCell ref="E6:F6"/>
    <mergeCell ref="B8:D8"/>
    <mergeCell ref="E8:F8"/>
    <mergeCell ref="B2:B3"/>
    <mergeCell ref="D2:D3"/>
    <mergeCell ref="E2:E3"/>
    <mergeCell ref="F2:F3"/>
    <mergeCell ref="G2:J2"/>
    <mergeCell ref="G8:I8"/>
    <mergeCell ref="G6:I6"/>
    <mergeCell ref="B4:B5"/>
    <mergeCell ref="C2:C3"/>
    <mergeCell ref="J6:K6"/>
    <mergeCell ref="J8:K8"/>
    <mergeCell ref="B7:D7"/>
    <mergeCell ref="E7:F7"/>
    <mergeCell ref="G7:I7"/>
    <mergeCell ref="J7:K7"/>
    <mergeCell ref="J49:K49"/>
    <mergeCell ref="B51:D51"/>
    <mergeCell ref="E51:F51"/>
    <mergeCell ref="G51:I51"/>
    <mergeCell ref="J51:K51"/>
    <mergeCell ref="B47:D47"/>
    <mergeCell ref="E47:F47"/>
    <mergeCell ref="G47:I47"/>
    <mergeCell ref="J47:K47"/>
    <mergeCell ref="B48:D48"/>
    <mergeCell ref="E48:F48"/>
    <mergeCell ref="G48:I48"/>
    <mergeCell ref="J48:K48"/>
    <mergeCell ref="B50:D50"/>
    <mergeCell ref="E50:F50"/>
    <mergeCell ref="G50:I50"/>
    <mergeCell ref="J50:K50"/>
    <mergeCell ref="B9:D9"/>
    <mergeCell ref="E9:F9"/>
    <mergeCell ref="B10:D10"/>
    <mergeCell ref="E10:F10"/>
    <mergeCell ref="G9:I9"/>
    <mergeCell ref="G10:I10"/>
    <mergeCell ref="B52:D52"/>
    <mergeCell ref="E52:F52"/>
    <mergeCell ref="G52:I52"/>
    <mergeCell ref="B43:D43"/>
    <mergeCell ref="E43:F43"/>
    <mergeCell ref="G43:I43"/>
    <mergeCell ref="B49:D49"/>
    <mergeCell ref="E49:F49"/>
    <mergeCell ref="G49:I49"/>
    <mergeCell ref="B14:D14"/>
    <mergeCell ref="E14:F14"/>
    <mergeCell ref="G14:I14"/>
    <mergeCell ref="B11:D11"/>
    <mergeCell ref="E11:F11"/>
    <mergeCell ref="B12:D12"/>
    <mergeCell ref="E12:F12"/>
    <mergeCell ref="G11:I11"/>
    <mergeCell ref="G12:I12"/>
    <mergeCell ref="J52:K52"/>
    <mergeCell ref="B58:D58"/>
    <mergeCell ref="E58:F58"/>
    <mergeCell ref="G58:I58"/>
    <mergeCell ref="J58:K58"/>
    <mergeCell ref="B59:D59"/>
    <mergeCell ref="E59:F59"/>
    <mergeCell ref="G59:I59"/>
    <mergeCell ref="J59:K59"/>
    <mergeCell ref="B53:D53"/>
    <mergeCell ref="E53:F53"/>
    <mergeCell ref="G53:I53"/>
    <mergeCell ref="J53:K53"/>
    <mergeCell ref="B54:D54"/>
    <mergeCell ref="E54:F54"/>
    <mergeCell ref="G54:I54"/>
    <mergeCell ref="J54:K54"/>
    <mergeCell ref="J60:K60"/>
    <mergeCell ref="B63:D63"/>
    <mergeCell ref="E63:F63"/>
    <mergeCell ref="G63:I63"/>
    <mergeCell ref="J63:K63"/>
    <mergeCell ref="B60:D60"/>
    <mergeCell ref="E60:F60"/>
    <mergeCell ref="G60:I60"/>
    <mergeCell ref="B64:D64"/>
    <mergeCell ref="E64:F64"/>
    <mergeCell ref="G64:I64"/>
    <mergeCell ref="G74:I74"/>
    <mergeCell ref="J74:K74"/>
    <mergeCell ref="B65:D65"/>
    <mergeCell ref="E65:F65"/>
    <mergeCell ref="G65:I65"/>
    <mergeCell ref="J65:K65"/>
    <mergeCell ref="B66:D66"/>
    <mergeCell ref="E66:F66"/>
    <mergeCell ref="G66:I66"/>
    <mergeCell ref="J66:K66"/>
    <mergeCell ref="E89:F89"/>
    <mergeCell ref="G89:I89"/>
    <mergeCell ref="J89:K89"/>
    <mergeCell ref="B82:D82"/>
    <mergeCell ref="E81:F81"/>
    <mergeCell ref="G82:I82"/>
    <mergeCell ref="J81:K81"/>
    <mergeCell ref="B83:D83"/>
    <mergeCell ref="E83:F83"/>
    <mergeCell ref="G83:I83"/>
    <mergeCell ref="J83:K83"/>
    <mergeCell ref="B84:D84"/>
    <mergeCell ref="E84:F84"/>
    <mergeCell ref="G84:I84"/>
    <mergeCell ref="J84:K84"/>
    <mergeCell ref="B85:D85"/>
    <mergeCell ref="E85:F85"/>
    <mergeCell ref="G85:I85"/>
    <mergeCell ref="J85:K85"/>
    <mergeCell ref="B86:D86"/>
    <mergeCell ref="E86:F86"/>
    <mergeCell ref="G86:I86"/>
    <mergeCell ref="J86:K86"/>
    <mergeCell ref="E87:F87"/>
    <mergeCell ref="J88:K88"/>
    <mergeCell ref="B90:D90"/>
    <mergeCell ref="E90:F90"/>
    <mergeCell ref="G90:I90"/>
    <mergeCell ref="J90:K90"/>
    <mergeCell ref="B102:D102"/>
    <mergeCell ref="E102:F102"/>
    <mergeCell ref="G102:I102"/>
    <mergeCell ref="J102:K102"/>
    <mergeCell ref="E96:F96"/>
    <mergeCell ref="G96:I96"/>
    <mergeCell ref="J96:K96"/>
    <mergeCell ref="G97:I97"/>
    <mergeCell ref="J97:K97"/>
    <mergeCell ref="B101:D101"/>
    <mergeCell ref="E101:F101"/>
    <mergeCell ref="B92:D92"/>
    <mergeCell ref="E92:F92"/>
    <mergeCell ref="G92:I92"/>
    <mergeCell ref="J92:K92"/>
    <mergeCell ref="B93:D93"/>
    <mergeCell ref="E93:F93"/>
    <mergeCell ref="G93:I93"/>
    <mergeCell ref="J93:K93"/>
    <mergeCell ref="J87:K87"/>
    <mergeCell ref="J108:K108"/>
    <mergeCell ref="G111:I111"/>
    <mergeCell ref="J111:K111"/>
    <mergeCell ref="B105:D105"/>
    <mergeCell ref="E105:F105"/>
    <mergeCell ref="G105:I105"/>
    <mergeCell ref="J105:K105"/>
    <mergeCell ref="B91:D91"/>
    <mergeCell ref="E91:F91"/>
    <mergeCell ref="G91:I91"/>
    <mergeCell ref="J91:K91"/>
    <mergeCell ref="B95:D95"/>
    <mergeCell ref="E95:F95"/>
    <mergeCell ref="G95:I95"/>
    <mergeCell ref="J95:K95"/>
    <mergeCell ref="B97:D97"/>
    <mergeCell ref="E97:F97"/>
    <mergeCell ref="G101:I101"/>
    <mergeCell ref="J101:K101"/>
    <mergeCell ref="B96:D96"/>
    <mergeCell ref="J104:K104"/>
    <mergeCell ref="B89:D89"/>
    <mergeCell ref="B88:D88"/>
    <mergeCell ref="B118:D118"/>
    <mergeCell ref="B119:D119"/>
    <mergeCell ref="E106:F106"/>
    <mergeCell ref="B106:D106"/>
    <mergeCell ref="G106:I106"/>
    <mergeCell ref="J106:K106"/>
    <mergeCell ref="B110:D110"/>
    <mergeCell ref="E110:F110"/>
    <mergeCell ref="G110:I110"/>
    <mergeCell ref="J110:K110"/>
    <mergeCell ref="J107:K107"/>
    <mergeCell ref="B107:D107"/>
    <mergeCell ref="E107:F107"/>
    <mergeCell ref="G107:I107"/>
    <mergeCell ref="B108:D108"/>
    <mergeCell ref="E108:F108"/>
    <mergeCell ref="G108:I108"/>
    <mergeCell ref="E112:F112"/>
    <mergeCell ref="G115:I115"/>
    <mergeCell ref="J115:K115"/>
    <mergeCell ref="E122:F122"/>
    <mergeCell ref="G122:I122"/>
    <mergeCell ref="J122:K122"/>
    <mergeCell ref="B109:K109"/>
    <mergeCell ref="B121:D121"/>
    <mergeCell ref="B122:D122"/>
    <mergeCell ref="E116:F116"/>
    <mergeCell ref="G116:I116"/>
    <mergeCell ref="J116:K116"/>
    <mergeCell ref="E117:F117"/>
    <mergeCell ref="G117:I117"/>
    <mergeCell ref="J117:K117"/>
    <mergeCell ref="B111:D111"/>
    <mergeCell ref="B112:D112"/>
    <mergeCell ref="B113:D113"/>
    <mergeCell ref="B114:D114"/>
    <mergeCell ref="B115:D115"/>
    <mergeCell ref="B116:D116"/>
    <mergeCell ref="B117:D117"/>
    <mergeCell ref="G112:I112"/>
    <mergeCell ref="J112:K112"/>
    <mergeCell ref="E113:F113"/>
    <mergeCell ref="B120:D120"/>
    <mergeCell ref="E111:F111"/>
    <mergeCell ref="E121:F121"/>
    <mergeCell ref="G121:I121"/>
    <mergeCell ref="J121:K121"/>
    <mergeCell ref="G113:I113"/>
    <mergeCell ref="J113:K113"/>
    <mergeCell ref="E114:F114"/>
    <mergeCell ref="G114:I114"/>
    <mergeCell ref="J114:K114"/>
    <mergeCell ref="E115:F115"/>
    <mergeCell ref="E118:F118"/>
    <mergeCell ref="G118:I118"/>
    <mergeCell ref="J118:K118"/>
    <mergeCell ref="E119:F119"/>
    <mergeCell ref="G119:I119"/>
    <mergeCell ref="J119:K119"/>
    <mergeCell ref="E120:F120"/>
    <mergeCell ref="G120:I120"/>
    <mergeCell ref="J120:K120"/>
    <mergeCell ref="G140:I140"/>
    <mergeCell ref="J140:K140"/>
    <mergeCell ref="B129:D129"/>
    <mergeCell ref="E129:F129"/>
    <mergeCell ref="G129:I129"/>
    <mergeCell ref="J129:K129"/>
    <mergeCell ref="B130:D130"/>
    <mergeCell ref="E130:F130"/>
    <mergeCell ref="G130:I130"/>
    <mergeCell ref="J130:K130"/>
    <mergeCell ref="B132:D132"/>
    <mergeCell ref="E132:F132"/>
    <mergeCell ref="G132:I132"/>
    <mergeCell ref="J132:K132"/>
    <mergeCell ref="B136:D136"/>
    <mergeCell ref="E136:F136"/>
    <mergeCell ref="G136:I136"/>
    <mergeCell ref="J136:K136"/>
    <mergeCell ref="B138:K138"/>
    <mergeCell ref="B139:D139"/>
    <mergeCell ref="E139:F139"/>
    <mergeCell ref="G139:I139"/>
    <mergeCell ref="J139:K139"/>
    <mergeCell ref="B140:D140"/>
    <mergeCell ref="J134:K134"/>
    <mergeCell ref="G125:I125"/>
    <mergeCell ref="J125:K125"/>
    <mergeCell ref="B126:D126"/>
    <mergeCell ref="E126:F126"/>
    <mergeCell ref="G126:I126"/>
    <mergeCell ref="J126:K126"/>
    <mergeCell ref="B184:D184"/>
    <mergeCell ref="E184:F184"/>
    <mergeCell ref="G184:I184"/>
    <mergeCell ref="J184:K184"/>
    <mergeCell ref="B159:D159"/>
    <mergeCell ref="E159:F159"/>
    <mergeCell ref="G159:I159"/>
    <mergeCell ref="J159:K159"/>
    <mergeCell ref="E165:F165"/>
    <mergeCell ref="G165:I165"/>
    <mergeCell ref="J165:K165"/>
    <mergeCell ref="B160:D160"/>
    <mergeCell ref="E160:F160"/>
    <mergeCell ref="G160:I160"/>
    <mergeCell ref="J160:K160"/>
    <mergeCell ref="J178:K178"/>
    <mergeCell ref="J174:K174"/>
    <mergeCell ref="AP4:AQ4"/>
    <mergeCell ref="B135:K135"/>
    <mergeCell ref="B127:D127"/>
    <mergeCell ref="E127:F127"/>
    <mergeCell ref="G127:I127"/>
    <mergeCell ref="J127:K127"/>
    <mergeCell ref="B128:D128"/>
    <mergeCell ref="E128:F128"/>
    <mergeCell ref="AP5:AQ5"/>
    <mergeCell ref="B71:D71"/>
    <mergeCell ref="E71:F71"/>
    <mergeCell ref="G71:I71"/>
    <mergeCell ref="J71:K71"/>
    <mergeCell ref="B61:D61"/>
    <mergeCell ref="E61:F61"/>
    <mergeCell ref="G61:I61"/>
    <mergeCell ref="J61:K61"/>
    <mergeCell ref="B62:D62"/>
    <mergeCell ref="E62:F62"/>
    <mergeCell ref="G62:I62"/>
    <mergeCell ref="J62:K62"/>
    <mergeCell ref="G128:I128"/>
    <mergeCell ref="B41:D41"/>
    <mergeCell ref="J128:K128"/>
    <mergeCell ref="E41:F41"/>
    <mergeCell ref="G41:I41"/>
    <mergeCell ref="J41:K41"/>
    <mergeCell ref="G167:I167"/>
    <mergeCell ref="J167:K167"/>
    <mergeCell ref="B156:D156"/>
    <mergeCell ref="E156:F156"/>
    <mergeCell ref="G156:I156"/>
    <mergeCell ref="J156:K156"/>
    <mergeCell ref="B164:D164"/>
    <mergeCell ref="E164:F164"/>
    <mergeCell ref="G164:I164"/>
    <mergeCell ref="J164:K164"/>
    <mergeCell ref="B166:D166"/>
    <mergeCell ref="E166:F166"/>
    <mergeCell ref="G166:I166"/>
    <mergeCell ref="J166:K166"/>
    <mergeCell ref="B163:D163"/>
    <mergeCell ref="E163:F163"/>
    <mergeCell ref="G163:I163"/>
    <mergeCell ref="J163:K163"/>
    <mergeCell ref="B165:D165"/>
    <mergeCell ref="J142:K142"/>
    <mergeCell ref="B44:D44"/>
    <mergeCell ref="B36:D36"/>
    <mergeCell ref="E36:F36"/>
    <mergeCell ref="G36:I36"/>
    <mergeCell ref="J36:K36"/>
    <mergeCell ref="B37:D37"/>
    <mergeCell ref="E37:F37"/>
    <mergeCell ref="G37:I37"/>
    <mergeCell ref="J37:K37"/>
    <mergeCell ref="B40:D40"/>
    <mergeCell ref="E40:F40"/>
    <mergeCell ref="G40:I40"/>
    <mergeCell ref="J40:K40"/>
    <mergeCell ref="E44:F44"/>
    <mergeCell ref="J77:K77"/>
    <mergeCell ref="J78:K78"/>
    <mergeCell ref="B68:D68"/>
    <mergeCell ref="J75:K75"/>
    <mergeCell ref="B76:D76"/>
    <mergeCell ref="J80:K80"/>
    <mergeCell ref="B81:D81"/>
    <mergeCell ref="G45:I45"/>
    <mergeCell ref="J45:K45"/>
    <mergeCell ref="J64:K64"/>
    <mergeCell ref="J79:K79"/>
    <mergeCell ref="J76:K76"/>
    <mergeCell ref="B77:D77"/>
    <mergeCell ref="E77:F77"/>
    <mergeCell ref="E68:F68"/>
    <mergeCell ref="G68:I68"/>
    <mergeCell ref="J68:K68"/>
    <mergeCell ref="B69:D69"/>
    <mergeCell ref="E69:F69"/>
    <mergeCell ref="G69:I69"/>
    <mergeCell ref="J69:K69"/>
    <mergeCell ref="B70:D70"/>
    <mergeCell ref="J70:K70"/>
    <mergeCell ref="E82:F82"/>
    <mergeCell ref="G81:I81"/>
    <mergeCell ref="J82:K82"/>
    <mergeCell ref="B55:D55"/>
    <mergeCell ref="E55:F55"/>
    <mergeCell ref="G55:I55"/>
    <mergeCell ref="J55:K55"/>
    <mergeCell ref="B56:D56"/>
    <mergeCell ref="E56:F56"/>
    <mergeCell ref="G56:I56"/>
    <mergeCell ref="J56:K56"/>
    <mergeCell ref="B57:D57"/>
    <mergeCell ref="E57:F57"/>
    <mergeCell ref="G57:I57"/>
    <mergeCell ref="J57:K57"/>
    <mergeCell ref="J72:K72"/>
    <mergeCell ref="B73:D73"/>
    <mergeCell ref="E73:F73"/>
    <mergeCell ref="G73:I73"/>
    <mergeCell ref="J73:K73"/>
    <mergeCell ref="B74:D74"/>
    <mergeCell ref="E74:F74"/>
    <mergeCell ref="E70:F70"/>
    <mergeCell ref="G70:I70"/>
    <mergeCell ref="B100:D100"/>
    <mergeCell ref="E100:F100"/>
    <mergeCell ref="G100:I100"/>
    <mergeCell ref="J100:K100"/>
    <mergeCell ref="B146:D146"/>
    <mergeCell ref="E146:F146"/>
    <mergeCell ref="G146:I146"/>
    <mergeCell ref="J146:K146"/>
    <mergeCell ref="B94:D94"/>
    <mergeCell ref="E94:F94"/>
    <mergeCell ref="G94:I94"/>
    <mergeCell ref="J94:K94"/>
    <mergeCell ref="B98:D98"/>
    <mergeCell ref="E98:F98"/>
    <mergeCell ref="G98:I98"/>
    <mergeCell ref="J98:K98"/>
    <mergeCell ref="B99:D99"/>
    <mergeCell ref="E99:F99"/>
    <mergeCell ref="G99:I99"/>
    <mergeCell ref="J99:K99"/>
    <mergeCell ref="E140:F140"/>
    <mergeCell ref="B124:K124"/>
    <mergeCell ref="B125:D125"/>
    <mergeCell ref="E125:F125"/>
    <mergeCell ref="B170:D170"/>
    <mergeCell ref="E170:F170"/>
    <mergeCell ref="G170:I170"/>
    <mergeCell ref="J170:K170"/>
    <mergeCell ref="B172:D172"/>
    <mergeCell ref="E172:F172"/>
    <mergeCell ref="G172:I172"/>
    <mergeCell ref="J172:K172"/>
    <mergeCell ref="J171:K171"/>
    <mergeCell ref="E171:F171"/>
    <mergeCell ref="G171:I171"/>
    <mergeCell ref="B183:D183"/>
    <mergeCell ref="E183:F183"/>
    <mergeCell ref="G183:I183"/>
    <mergeCell ref="J183:K183"/>
    <mergeCell ref="B180:D180"/>
    <mergeCell ref="E180:F180"/>
    <mergeCell ref="G180:I180"/>
    <mergeCell ref="J180:K180"/>
    <mergeCell ref="B181:D181"/>
    <mergeCell ref="E181:F181"/>
    <mergeCell ref="G181:I181"/>
    <mergeCell ref="J181:K181"/>
    <mergeCell ref="B182:D182"/>
    <mergeCell ref="E182:F182"/>
    <mergeCell ref="G182:I182"/>
    <mergeCell ref="J182:K182"/>
    <mergeCell ref="E18:F18"/>
    <mergeCell ref="G17:I17"/>
    <mergeCell ref="G18:I18"/>
    <mergeCell ref="B16:D16"/>
    <mergeCell ref="B19:D19"/>
    <mergeCell ref="B15:D15"/>
    <mergeCell ref="E16:F16"/>
    <mergeCell ref="G15:I15"/>
    <mergeCell ref="J15:K15"/>
    <mergeCell ref="B152:D152"/>
    <mergeCell ref="E152:F152"/>
    <mergeCell ref="G152:I152"/>
    <mergeCell ref="J152:K152"/>
    <mergeCell ref="B131:D131"/>
    <mergeCell ref="E131:F131"/>
    <mergeCell ref="G131:I131"/>
    <mergeCell ref="J131:K131"/>
    <mergeCell ref="B137:D137"/>
    <mergeCell ref="E137:F137"/>
    <mergeCell ref="G137:I137"/>
    <mergeCell ref="J137:K137"/>
    <mergeCell ref="B141:D141"/>
    <mergeCell ref="E141:F141"/>
    <mergeCell ref="G141:I141"/>
    <mergeCell ref="J141:K141"/>
    <mergeCell ref="E150:F150"/>
    <mergeCell ref="B133:D133"/>
    <mergeCell ref="E133:F133"/>
    <mergeCell ref="G133:I133"/>
    <mergeCell ref="J133:K133"/>
    <mergeCell ref="B134:D134"/>
    <mergeCell ref="E134:F134"/>
    <mergeCell ref="G134:I134"/>
    <mergeCell ref="AP7:AQ7"/>
    <mergeCell ref="AR7:AS7"/>
    <mergeCell ref="B33:D33"/>
    <mergeCell ref="E33:F33"/>
    <mergeCell ref="G33:I33"/>
    <mergeCell ref="J33:K33"/>
    <mergeCell ref="B149:D149"/>
    <mergeCell ref="E149:F149"/>
    <mergeCell ref="G149:I149"/>
    <mergeCell ref="J149:K149"/>
    <mergeCell ref="E15:F15"/>
    <mergeCell ref="B21:D21"/>
    <mergeCell ref="E21:F21"/>
    <mergeCell ref="G21:I21"/>
    <mergeCell ref="J21:K21"/>
    <mergeCell ref="B22:D22"/>
    <mergeCell ref="E22:F22"/>
    <mergeCell ref="G22:I22"/>
    <mergeCell ref="J22:K22"/>
    <mergeCell ref="G16:I16"/>
    <mergeCell ref="E20:F20"/>
    <mergeCell ref="B17:D17"/>
    <mergeCell ref="E17:F17"/>
    <mergeCell ref="B18:D18"/>
  </mergeCells>
  <phoneticPr fontId="1" type="noConversion"/>
  <dataValidations disablePrompts="1" count="2">
    <dataValidation type="list" allowBlank="1" showInputMessage="1" showErrorMessage="1" sqref="G3:J3">
      <formula1>사탐</formula1>
    </dataValidation>
    <dataValidation type="list" allowBlank="1" showInputMessage="1" showErrorMessage="1" sqref="K3">
      <formula1>제2외</formula1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G140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3" sqref="E23"/>
    </sheetView>
  </sheetViews>
  <sheetFormatPr defaultRowHeight="13.5"/>
  <cols>
    <col min="1" max="1" width="10.5703125" style="1125" customWidth="1"/>
    <col min="2" max="2" width="20.7109375" style="413" customWidth="1"/>
    <col min="3" max="3" width="10.28515625" style="460" customWidth="1"/>
    <col min="4" max="4" width="9.85546875" style="437" customWidth="1"/>
    <col min="5" max="6" width="9.85546875" style="195" customWidth="1"/>
    <col min="7" max="7" width="9.85546875" style="463" customWidth="1"/>
    <col min="8" max="8" width="9.140625" style="200"/>
    <col min="9" max="9" width="8" style="466" customWidth="1"/>
    <col min="10" max="11" width="8" style="196" customWidth="1"/>
    <col min="12" max="12" width="8" style="471" customWidth="1"/>
    <col min="13" max="13" width="8" style="486" customWidth="1"/>
    <col min="14" max="14" width="8" style="466" customWidth="1"/>
    <col min="15" max="15" width="8" style="196" customWidth="1"/>
    <col min="16" max="17" width="8" style="197" customWidth="1"/>
    <col min="18" max="18" width="9" style="492" customWidth="1"/>
    <col min="19" max="19" width="9.140625" style="200"/>
    <col min="20" max="20" width="6.85546875" style="329" customWidth="1"/>
    <col min="21" max="21" width="6.85546875" style="256" customWidth="1"/>
    <col min="22" max="22" width="6.85546875" style="330" customWidth="1"/>
    <col min="23" max="23" width="9.140625" style="331"/>
    <col min="24" max="24" width="3.7109375" style="332" customWidth="1"/>
    <col min="25" max="27" width="3.7109375" style="255" customWidth="1"/>
    <col min="28" max="28" width="3.7109375" style="333" customWidth="1"/>
    <col min="29" max="29" width="9.140625" style="334"/>
    <col min="30" max="30" width="9.140625" style="602"/>
    <col min="31" max="32" width="9.140625" style="603"/>
    <col min="33" max="33" width="9.140625" style="604"/>
    <col min="34" max="35" width="9.140625" style="1373"/>
    <col min="36" max="36" width="9.140625" style="334"/>
    <col min="37" max="37" width="9.140625" style="332"/>
    <col min="38" max="51" width="9.140625" style="255"/>
    <col min="52" max="52" width="11.28515625" style="255" customWidth="1"/>
    <col min="53" max="55" width="9.140625" style="255"/>
    <col min="56" max="56" width="9.140625" style="117"/>
    <col min="57" max="57" width="9.140625" style="116"/>
    <col min="58" max="58" width="9.140625" style="1233"/>
    <col min="59" max="59" width="9.140625" style="117"/>
    <col min="60" max="16384" width="9.140625" style="116"/>
  </cols>
  <sheetData>
    <row r="1" spans="1:59" s="973" customFormat="1" ht="26.25" customHeight="1" thickBot="1">
      <c r="A1" s="1085"/>
      <c r="B1" s="946" t="s">
        <v>760</v>
      </c>
      <c r="C1" s="947" t="s">
        <v>40</v>
      </c>
      <c r="D1" s="948" t="s">
        <v>41</v>
      </c>
      <c r="E1" s="949" t="s">
        <v>42</v>
      </c>
      <c r="F1" s="949" t="s">
        <v>43</v>
      </c>
      <c r="G1" s="950" t="s">
        <v>44</v>
      </c>
      <c r="H1" s="946" t="s">
        <v>45</v>
      </c>
      <c r="I1" s="951" t="s">
        <v>41</v>
      </c>
      <c r="J1" s="952" t="s">
        <v>42</v>
      </c>
      <c r="K1" s="952" t="s">
        <v>43</v>
      </c>
      <c r="L1" s="953" t="s">
        <v>44</v>
      </c>
      <c r="M1" s="954" t="s">
        <v>46</v>
      </c>
      <c r="N1" s="951" t="s">
        <v>47</v>
      </c>
      <c r="O1" s="952" t="s">
        <v>48</v>
      </c>
      <c r="P1" s="955" t="s">
        <v>49</v>
      </c>
      <c r="Q1" s="955" t="s">
        <v>50</v>
      </c>
      <c r="R1" s="956" t="s">
        <v>51</v>
      </c>
      <c r="S1" s="946" t="s">
        <v>52</v>
      </c>
      <c r="T1" s="957" t="s">
        <v>41</v>
      </c>
      <c r="U1" s="958" t="s">
        <v>42</v>
      </c>
      <c r="V1" s="959" t="s">
        <v>43</v>
      </c>
      <c r="W1" s="960" t="s">
        <v>53</v>
      </c>
      <c r="X1" s="961" t="s">
        <v>41</v>
      </c>
      <c r="Y1" s="962" t="s">
        <v>42</v>
      </c>
      <c r="Z1" s="962" t="s">
        <v>43</v>
      </c>
      <c r="AA1" s="962" t="s">
        <v>54</v>
      </c>
      <c r="AB1" s="963" t="s">
        <v>55</v>
      </c>
      <c r="AC1" s="964" t="s">
        <v>56</v>
      </c>
      <c r="AD1" s="965" t="s">
        <v>41</v>
      </c>
      <c r="AE1" s="966" t="s">
        <v>42</v>
      </c>
      <c r="AF1" s="966" t="s">
        <v>43</v>
      </c>
      <c r="AG1" s="967" t="s">
        <v>54</v>
      </c>
      <c r="AH1" s="1603" t="s">
        <v>57</v>
      </c>
      <c r="AI1" s="1604"/>
      <c r="AJ1" s="968"/>
      <c r="AK1" s="969" t="s">
        <v>269</v>
      </c>
      <c r="AL1" s="970" t="s">
        <v>270</v>
      </c>
      <c r="AM1" s="970" t="s">
        <v>271</v>
      </c>
      <c r="AN1" s="970" t="s">
        <v>272</v>
      </c>
      <c r="AO1" s="970" t="s">
        <v>273</v>
      </c>
      <c r="AP1" s="970" t="s">
        <v>274</v>
      </c>
      <c r="AQ1" s="970" t="s">
        <v>275</v>
      </c>
      <c r="AR1" s="970" t="s">
        <v>276</v>
      </c>
      <c r="AS1" s="970" t="s">
        <v>277</v>
      </c>
      <c r="AT1" s="970" t="s">
        <v>278</v>
      </c>
      <c r="AU1" s="970" t="s">
        <v>279</v>
      </c>
      <c r="AV1" s="970" t="s">
        <v>280</v>
      </c>
      <c r="AW1" s="970" t="s">
        <v>281</v>
      </c>
      <c r="AX1" s="970" t="s">
        <v>282</v>
      </c>
      <c r="AY1" s="971" t="s">
        <v>209</v>
      </c>
      <c r="AZ1" s="970" t="s">
        <v>123</v>
      </c>
      <c r="BA1" s="970" t="s">
        <v>210</v>
      </c>
      <c r="BB1" s="970" t="s">
        <v>283</v>
      </c>
      <c r="BC1" s="970" t="s">
        <v>122</v>
      </c>
      <c r="BD1" s="972" t="s">
        <v>425</v>
      </c>
      <c r="BE1" s="973" t="s">
        <v>426</v>
      </c>
      <c r="BF1" s="1229" t="s">
        <v>427</v>
      </c>
      <c r="BG1" s="972"/>
    </row>
    <row r="2" spans="1:59" s="165" customFormat="1" ht="14.25" thickBot="1">
      <c r="A2" s="1086" t="s">
        <v>88</v>
      </c>
      <c r="B2" s="243" t="s">
        <v>59</v>
      </c>
      <c r="C2" s="438">
        <v>900</v>
      </c>
      <c r="D2" s="414">
        <f>성적입력!D$4</f>
        <v>125</v>
      </c>
      <c r="E2" s="244">
        <f>성적입력!E$4*1.25</f>
        <v>173.75</v>
      </c>
      <c r="F2" s="244">
        <f>성적입력!F$4</f>
        <v>115</v>
      </c>
      <c r="G2" s="350">
        <f>$M2</f>
        <v>147.27500000000001</v>
      </c>
      <c r="H2" s="249"/>
      <c r="I2" s="246"/>
      <c r="J2" s="247"/>
      <c r="K2" s="247"/>
      <c r="L2" s="248"/>
      <c r="M2" s="245">
        <f>SUM($N2:$Q2)/2+$R2/2</f>
        <v>147.27500000000001</v>
      </c>
      <c r="N2" s="246">
        <f>IF(성적입력!G$3=0,0,HLOOKUP(성적입력!G$3,'서울대,한양대보정별첨'!$B$2:$T$103,102-성적입력!G$4,FALSE))</f>
        <v>68.819999999999993</v>
      </c>
      <c r="O2" s="247">
        <f>IF(성적입력!H$3=0,0,HLOOKUP(성적입력!H$3,'서울대,한양대보정별첨'!$B$2:$T$103,102-성적입력!H$4,FALSE))</f>
        <v>67.92</v>
      </c>
      <c r="P2" s="247">
        <f>IF(성적입력!I$3=0,0,HLOOKUP(성적입력!I$3,'서울대,한양대보정별첨'!$B$2:$T$103,102-성적입력!I$4,FALSE))</f>
        <v>63.32</v>
      </c>
      <c r="Q2" s="247">
        <f>IF(성적입력!J$3=0,0,HLOOKUP(성적입력!J$3,'서울대,한양대보정별첨'!$B$2:$T$103,102-성적입력!J$4,FALSE))</f>
        <v>53.44</v>
      </c>
      <c r="R2" s="248">
        <f>IF(성적입력!K$3=0,0,HLOOKUP(성적입력!K$3,'서울대,한양대보정별첨'!$B$2:$T$103,102-성적입력!K$4,FALSE))</f>
        <v>41.05</v>
      </c>
      <c r="S2" s="249"/>
      <c r="T2" s="250"/>
      <c r="U2" s="293"/>
      <c r="V2" s="352"/>
      <c r="W2" s="251"/>
      <c r="X2" s="253"/>
      <c r="AB2" s="252"/>
      <c r="AC2" s="249"/>
      <c r="AD2" s="531"/>
      <c r="AE2" s="532"/>
      <c r="AF2" s="532"/>
      <c r="AG2" s="533"/>
      <c r="AH2" s="1318"/>
      <c r="AI2" s="1318"/>
      <c r="AJ2" s="918" t="s">
        <v>267</v>
      </c>
      <c r="AK2" s="919">
        <v>140</v>
      </c>
      <c r="AL2" s="920">
        <v>147</v>
      </c>
      <c r="AM2" s="920">
        <v>142</v>
      </c>
      <c r="AN2" s="920">
        <v>69</v>
      </c>
      <c r="AO2" s="920">
        <v>72</v>
      </c>
      <c r="AP2" s="920">
        <v>70</v>
      </c>
      <c r="AQ2" s="920">
        <v>69</v>
      </c>
      <c r="AR2" s="920">
        <v>76</v>
      </c>
      <c r="AS2" s="920">
        <v>67</v>
      </c>
      <c r="AT2" s="920">
        <v>66</v>
      </c>
      <c r="AU2" s="920">
        <v>75</v>
      </c>
      <c r="AV2" s="920">
        <v>82</v>
      </c>
      <c r="AW2" s="920">
        <v>74</v>
      </c>
      <c r="AX2" s="920">
        <v>69</v>
      </c>
      <c r="AY2" s="920">
        <v>70</v>
      </c>
      <c r="AZ2" s="920">
        <v>67</v>
      </c>
      <c r="BA2" s="920">
        <v>74</v>
      </c>
      <c r="BB2" s="920">
        <v>74</v>
      </c>
      <c r="BC2" s="920">
        <v>74</v>
      </c>
      <c r="BD2" s="1225">
        <v>86</v>
      </c>
      <c r="BE2" s="1226">
        <v>90</v>
      </c>
      <c r="BF2" s="1230">
        <v>70</v>
      </c>
      <c r="BG2" s="253"/>
    </row>
    <row r="3" spans="1:59" s="136" customFormat="1" ht="14.25" thickBot="1">
      <c r="A3" s="1087" t="s">
        <v>58</v>
      </c>
      <c r="B3" s="210" t="s">
        <v>59</v>
      </c>
      <c r="C3" s="439">
        <v>500</v>
      </c>
      <c r="D3" s="415">
        <f>T3*I3</f>
        <v>89.285714285714292</v>
      </c>
      <c r="E3" s="189">
        <f>U3*J3</f>
        <v>99.285714285714278</v>
      </c>
      <c r="F3" s="189">
        <f>V3*K3</f>
        <v>82.142857142857139</v>
      </c>
      <c r="G3" s="190">
        <f>M3*L3</f>
        <v>48.971428571428575</v>
      </c>
      <c r="H3" s="157"/>
      <c r="I3" s="160">
        <f>AD3*$C3</f>
        <v>142.85714285714286</v>
      </c>
      <c r="J3" s="161">
        <f t="shared" ref="J3:L4" si="0">AE3*$C3</f>
        <v>142.85714285714286</v>
      </c>
      <c r="K3" s="161">
        <f t="shared" si="0"/>
        <v>142.85714285714286</v>
      </c>
      <c r="L3" s="174">
        <f t="shared" si="0"/>
        <v>71.428571428571431</v>
      </c>
      <c r="M3" s="684">
        <f>(LARGE(N3:R3,1)+LARGE(N3:R3,2))/2</f>
        <v>0.68559999999999999</v>
      </c>
      <c r="N3" s="160">
        <f>VLOOKUP(성적입력!G$5,보정점수표!$A$3:$M$103,2,FALSE)/$AA3</f>
        <v>0.69059999999999999</v>
      </c>
      <c r="O3" s="161">
        <f>VLOOKUP(성적입력!H$5,보정점수표!$A$3:$M$103,2,FALSE)/$AA3</f>
        <v>0.68059999999999998</v>
      </c>
      <c r="P3" s="161">
        <f>VLOOKUP(성적입력!I$5,보정점수표!$A$3:$M$103,2,FALSE)/$AA3</f>
        <v>0.63329999999999997</v>
      </c>
      <c r="Q3" s="161">
        <f>VLOOKUP(성적입력!J$5,보정점수표!$A$3:$M$103,2,FALSE)/$AA3</f>
        <v>0.53449999999999998</v>
      </c>
      <c r="R3" s="162">
        <f>VLOOKUP(성적입력!K$5,보정점수표!$M$3:$T$103,2,FALSE)/$AB3</f>
        <v>0.39659999999999995</v>
      </c>
      <c r="S3" s="157"/>
      <c r="T3" s="163">
        <f>성적입력!D$4/계산도구!X3</f>
        <v>0.625</v>
      </c>
      <c r="U3" s="158">
        <f>성적입력!E$4/계산도구!Y3</f>
        <v>0.69499999999999995</v>
      </c>
      <c r="V3" s="159">
        <f>성적입력!F$4/계산도구!Z3</f>
        <v>0.57499999999999996</v>
      </c>
      <c r="W3" s="164"/>
      <c r="X3" s="135">
        <v>200</v>
      </c>
      <c r="Y3" s="136">
        <v>200</v>
      </c>
      <c r="Z3" s="136">
        <v>200</v>
      </c>
      <c r="AA3" s="136">
        <v>100</v>
      </c>
      <c r="AB3" s="137">
        <v>100</v>
      </c>
      <c r="AC3" s="157"/>
      <c r="AD3" s="534">
        <f t="shared" ref="AD3:AF4" si="1">200/700</f>
        <v>0.2857142857142857</v>
      </c>
      <c r="AE3" s="535">
        <f t="shared" si="1"/>
        <v>0.2857142857142857</v>
      </c>
      <c r="AF3" s="535">
        <f t="shared" si="1"/>
        <v>0.2857142857142857</v>
      </c>
      <c r="AG3" s="536">
        <f>100/700</f>
        <v>0.14285714285714285</v>
      </c>
      <c r="AH3" s="1319"/>
      <c r="AI3" s="1319"/>
      <c r="AJ3" s="921" t="s">
        <v>268</v>
      </c>
      <c r="AK3" s="922"/>
      <c r="AL3" s="923"/>
      <c r="AM3" s="923"/>
      <c r="AN3" s="923">
        <v>30</v>
      </c>
      <c r="AO3" s="923">
        <v>33</v>
      </c>
      <c r="AP3" s="923">
        <v>26</v>
      </c>
      <c r="AQ3" s="923">
        <v>26</v>
      </c>
      <c r="AR3" s="923">
        <v>22</v>
      </c>
      <c r="AS3" s="923">
        <v>29</v>
      </c>
      <c r="AT3" s="923">
        <v>30</v>
      </c>
      <c r="AU3" s="923">
        <v>27</v>
      </c>
      <c r="AV3" s="923">
        <v>28</v>
      </c>
      <c r="AW3" s="923">
        <v>31</v>
      </c>
      <c r="AX3" s="923">
        <v>26</v>
      </c>
      <c r="AY3" s="923">
        <v>34</v>
      </c>
      <c r="AZ3" s="923">
        <v>31</v>
      </c>
      <c r="BA3" s="923">
        <v>35</v>
      </c>
      <c r="BB3" s="923">
        <v>32</v>
      </c>
      <c r="BC3" s="923">
        <v>30</v>
      </c>
      <c r="BD3" s="1227">
        <v>36</v>
      </c>
      <c r="BE3" s="1228">
        <v>34</v>
      </c>
      <c r="BF3" s="1231">
        <v>26</v>
      </c>
      <c r="BG3" s="135"/>
    </row>
    <row r="4" spans="1:59" s="226" customFormat="1" ht="14.25" thickBot="1">
      <c r="A4" s="1088" t="s">
        <v>60</v>
      </c>
      <c r="B4" s="214" t="s">
        <v>59</v>
      </c>
      <c r="C4" s="440">
        <v>500</v>
      </c>
      <c r="D4" s="416">
        <f>(성적입력!D$4/$H4)*I4</f>
        <v>124.82025882728873</v>
      </c>
      <c r="E4" s="416">
        <f>(성적입력!E$4/$H4)*J4</f>
        <v>138.80012781594505</v>
      </c>
      <c r="F4" s="416">
        <f>(성적입력!F$4/$H4)*K4</f>
        <v>114.83463812110561</v>
      </c>
      <c r="G4" s="216">
        <f>(M4/$H4)*L4</f>
        <v>68.271688768173846</v>
      </c>
      <c r="H4" s="254">
        <f>IF($R4&lt;LARGE($N4:$Q4,2),(X4*AD4+Y4*AE4+Z4*AF4+AA4*AG4*2),(X4*AD4+Y4*AE4+Z4*AF4+(AA4+AB4)*AG4))</f>
        <v>143.06285714285713</v>
      </c>
      <c r="I4" s="218">
        <f>AD4*$C4</f>
        <v>142.85714285714286</v>
      </c>
      <c r="J4" s="219">
        <f t="shared" si="0"/>
        <v>142.85714285714286</v>
      </c>
      <c r="K4" s="219">
        <f t="shared" si="0"/>
        <v>142.85714285714286</v>
      </c>
      <c r="L4" s="228">
        <f t="shared" si="0"/>
        <v>71.428571428571431</v>
      </c>
      <c r="M4" s="866">
        <f>ROUNDDOWN((LARGE(N4:R4,1)+LARGE(N4:R4,2)),2)</f>
        <v>136.74</v>
      </c>
      <c r="N4" s="218">
        <f>VLOOKUP(성적입력!G$5,보정점수표!$A$3:$M$103,3,FALSE)</f>
        <v>68.819999999999993</v>
      </c>
      <c r="O4" s="218">
        <f>VLOOKUP(성적입력!H$5,보정점수표!$A$3:$M$103,3,FALSE)</f>
        <v>67.92</v>
      </c>
      <c r="P4" s="218">
        <f>VLOOKUP(성적입력!I$5,보정점수표!$A$3:$M$103,3,FALSE)</f>
        <v>63.32</v>
      </c>
      <c r="Q4" s="218">
        <f>VLOOKUP(성적입력!J$5,보정점수표!$A$3:$M$103,3,FALSE)</f>
        <v>53.44</v>
      </c>
      <c r="R4" s="228">
        <f>VLOOKUP(성적입력!K$5,보정점수표!$M$3:$V$103,3,FALSE)</f>
        <v>41.05</v>
      </c>
      <c r="S4" s="217"/>
      <c r="T4" s="221">
        <f>성적입력!D$4/계산도구!X4</f>
        <v>0.8928571428571429</v>
      </c>
      <c r="U4" s="221">
        <f>성적입력!E$4/계산도구!Y4</f>
        <v>0.94557823129251706</v>
      </c>
      <c r="V4" s="221">
        <f>성적입력!F$4/계산도구!Z4</f>
        <v>0.8098591549295775</v>
      </c>
      <c r="W4" s="224"/>
      <c r="X4" s="225">
        <f>AK$2</f>
        <v>140</v>
      </c>
      <c r="Y4" s="225">
        <f>AL$2</f>
        <v>147</v>
      </c>
      <c r="Z4" s="225">
        <f>AM$2</f>
        <v>142</v>
      </c>
      <c r="AA4" s="226">
        <f>보정점수표!C$3</f>
        <v>71.72</v>
      </c>
      <c r="AB4" s="227">
        <f>보정점수표!O$3</f>
        <v>75.62</v>
      </c>
      <c r="AC4" s="217"/>
      <c r="AD4" s="537">
        <f t="shared" si="1"/>
        <v>0.2857142857142857</v>
      </c>
      <c r="AE4" s="538">
        <f t="shared" si="1"/>
        <v>0.2857142857142857</v>
      </c>
      <c r="AF4" s="538">
        <f t="shared" si="1"/>
        <v>0.2857142857142857</v>
      </c>
      <c r="AG4" s="539">
        <f>100/700</f>
        <v>0.14285714285714285</v>
      </c>
      <c r="AH4" s="1320"/>
      <c r="AI4" s="1320"/>
      <c r="AJ4" s="217"/>
      <c r="AK4" s="225"/>
      <c r="BD4" s="225"/>
      <c r="BF4" s="924"/>
      <c r="BG4" s="225"/>
    </row>
    <row r="5" spans="1:59" s="305" customFormat="1">
      <c r="A5" s="1089" t="s">
        <v>61</v>
      </c>
      <c r="B5" s="295" t="s">
        <v>59</v>
      </c>
      <c r="C5" s="441">
        <v>750</v>
      </c>
      <c r="D5" s="417">
        <f>성적입력!D$4*계산도구!X5</f>
        <v>125</v>
      </c>
      <c r="E5" s="296">
        <f>성적입력!E$4*계산도구!Y5</f>
        <v>152.9</v>
      </c>
      <c r="F5" s="296">
        <f>성적입력!F$4*계산도구!Z5</f>
        <v>138</v>
      </c>
      <c r="G5" s="297">
        <f>M5*AA5</f>
        <v>95.731999999999985</v>
      </c>
      <c r="H5" s="298"/>
      <c r="I5" s="299"/>
      <c r="J5" s="300"/>
      <c r="K5" s="300"/>
      <c r="L5" s="306"/>
      <c r="M5" s="863">
        <f>(LARGE(N5:R5,1)+LARGE(N5:R5,2))</f>
        <v>136.76</v>
      </c>
      <c r="N5" s="299">
        <f>VLOOKUP(성적입력!G$5,보정점수표!$A$3:$M$103,4,FALSE)</f>
        <v>68.83</v>
      </c>
      <c r="O5" s="299">
        <f>VLOOKUP(성적입력!H$5,보정점수표!$A$3:$M$103,4,FALSE)</f>
        <v>67.930000000000007</v>
      </c>
      <c r="P5" s="299">
        <f>VLOOKUP(성적입력!I$5,보정점수표!$A$3:$M$103,4,FALSE)</f>
        <v>63.33</v>
      </c>
      <c r="Q5" s="299">
        <f>VLOOKUP(성적입력!J$5,보정점수표!$A$3:$M$103,4,FALSE)</f>
        <v>53.45</v>
      </c>
      <c r="R5" s="299">
        <f>VLOOKUP(성적입력!K$5,보정점수표!$A$3:$M$103,4,FALSE)</f>
        <v>39.65</v>
      </c>
      <c r="S5" s="298"/>
      <c r="T5" s="301"/>
      <c r="U5" s="302"/>
      <c r="V5" s="303"/>
      <c r="W5" s="304"/>
      <c r="X5" s="307">
        <v>1</v>
      </c>
      <c r="Y5" s="305">
        <v>1.1000000000000001</v>
      </c>
      <c r="Z5" s="305">
        <v>1.2</v>
      </c>
      <c r="AA5" s="305">
        <v>0.7</v>
      </c>
      <c r="AB5" s="294">
        <v>0.7</v>
      </c>
      <c r="AC5" s="298"/>
      <c r="AD5" s="540">
        <v>0.25</v>
      </c>
      <c r="AE5" s="541">
        <v>0.27500000000000002</v>
      </c>
      <c r="AF5" s="541">
        <v>0.3</v>
      </c>
      <c r="AG5" s="542">
        <v>0.17499999999999999</v>
      </c>
      <c r="AH5" s="1321"/>
      <c r="AI5" s="1321"/>
      <c r="AJ5" s="298"/>
      <c r="AK5" s="307"/>
      <c r="BD5" s="307"/>
      <c r="BF5" s="925"/>
      <c r="BG5" s="307"/>
    </row>
    <row r="6" spans="1:59" s="320" customFormat="1" ht="14.25" thickBot="1">
      <c r="A6" s="1090" t="s">
        <v>62</v>
      </c>
      <c r="B6" s="309" t="s">
        <v>63</v>
      </c>
      <c r="C6" s="442">
        <v>750</v>
      </c>
      <c r="D6" s="418">
        <f>성적입력!D$4*계산도구!X6</f>
        <v>112.5</v>
      </c>
      <c r="E6" s="310">
        <f>성적입력!E$4*계산도구!Y6</f>
        <v>166.79999999999998</v>
      </c>
      <c r="F6" s="310">
        <f>성적입력!F$4*계산도구!Z6</f>
        <v>138</v>
      </c>
      <c r="G6" s="380">
        <f>M6*AA6</f>
        <v>95.731999999999985</v>
      </c>
      <c r="H6" s="311"/>
      <c r="I6" s="312"/>
      <c r="J6" s="313"/>
      <c r="K6" s="313"/>
      <c r="L6" s="318"/>
      <c r="M6" s="864">
        <f>(LARGE(N6:R6,1)+LARGE(N6:R6,2))</f>
        <v>136.76</v>
      </c>
      <c r="N6" s="299">
        <f>VLOOKUP(성적입력!G$5,보정점수표!$A$3:$M$103,4,FALSE)</f>
        <v>68.83</v>
      </c>
      <c r="O6" s="299">
        <f>VLOOKUP(성적입력!H$5,보정점수표!$A$3:$M$103,4,FALSE)</f>
        <v>67.930000000000007</v>
      </c>
      <c r="P6" s="299">
        <f>VLOOKUP(성적입력!I$5,보정점수표!$A$3:$M$103,4,FALSE)</f>
        <v>63.33</v>
      </c>
      <c r="Q6" s="299">
        <f>VLOOKUP(성적입력!J$5,보정점수표!$A$3:$M$103,4,FALSE)</f>
        <v>53.45</v>
      </c>
      <c r="R6" s="381"/>
      <c r="S6" s="311"/>
      <c r="T6" s="314"/>
      <c r="U6" s="315"/>
      <c r="V6" s="316"/>
      <c r="W6" s="317"/>
      <c r="X6" s="319">
        <v>0.9</v>
      </c>
      <c r="Y6" s="320">
        <v>1.2</v>
      </c>
      <c r="Z6" s="320">
        <v>1.2</v>
      </c>
      <c r="AA6" s="320">
        <v>0.7</v>
      </c>
      <c r="AB6" s="308">
        <v>0.7</v>
      </c>
      <c r="AC6" s="311"/>
      <c r="AD6" s="543">
        <v>0.22500000000000001</v>
      </c>
      <c r="AE6" s="544">
        <v>0.3</v>
      </c>
      <c r="AF6" s="544">
        <v>0.3</v>
      </c>
      <c r="AG6" s="545">
        <v>0.17499999999999999</v>
      </c>
      <c r="AH6" s="1322"/>
      <c r="AI6" s="1322"/>
      <c r="AJ6" s="311"/>
      <c r="AK6" s="319"/>
      <c r="BD6" s="319"/>
      <c r="BF6" s="926"/>
      <c r="BG6" s="319"/>
    </row>
    <row r="7" spans="1:59" s="1002" customFormat="1" ht="14.25" thickBot="1">
      <c r="A7" s="1091" t="s">
        <v>315</v>
      </c>
      <c r="B7" s="985" t="s">
        <v>59</v>
      </c>
      <c r="C7" s="986">
        <v>700</v>
      </c>
      <c r="D7" s="987">
        <f t="shared" ref="D7:F19" si="2">T7*I7</f>
        <v>131.25</v>
      </c>
      <c r="E7" s="988">
        <f t="shared" si="2"/>
        <v>145.94999999999999</v>
      </c>
      <c r="F7" s="988">
        <f t="shared" si="2"/>
        <v>120.74999999999999</v>
      </c>
      <c r="G7" s="989">
        <f>M7*L7</f>
        <v>47.866</v>
      </c>
      <c r="H7" s="990"/>
      <c r="I7" s="991">
        <f t="shared" ref="I7:L19" si="3">AD7*$C7</f>
        <v>210</v>
      </c>
      <c r="J7" s="992">
        <f t="shared" si="3"/>
        <v>210</v>
      </c>
      <c r="K7" s="992">
        <f t="shared" si="3"/>
        <v>210</v>
      </c>
      <c r="L7" s="993">
        <f t="shared" si="3"/>
        <v>70</v>
      </c>
      <c r="M7" s="994">
        <f t="shared" ref="M7:M13" si="4">(LARGE(N7:R7,1)+LARGE(N7:R7,2))/2</f>
        <v>0.68379999999999996</v>
      </c>
      <c r="N7" s="991">
        <f>VLOOKUP(성적입력!G$5,보정점수표!$A$3:$M$103,5,FALSE)/$AA7</f>
        <v>0.68830000000000002</v>
      </c>
      <c r="O7" s="992">
        <f>VLOOKUP(성적입력!H$5,보정점수표!$A$3:$M$103,5,FALSE)/$AA7</f>
        <v>0.67930000000000001</v>
      </c>
      <c r="P7" s="995">
        <f>VLOOKUP(성적입력!I$5,보정점수표!$A$3:$M$103,5,FALSE)/$AA7</f>
        <v>0.63329999999999997</v>
      </c>
      <c r="Q7" s="995">
        <f>VLOOKUP(성적입력!J$5,보정점수표!$A$3:$M$103,5,FALSE)/$AA7</f>
        <v>0.53449999999999998</v>
      </c>
      <c r="R7" s="996">
        <f>VLOOKUP(성적입력!K$5,보정점수표!$M$3:$V$103,5,FALSE)/$AB7</f>
        <v>0.39659999999999995</v>
      </c>
      <c r="S7" s="990"/>
      <c r="T7" s="997">
        <f>성적입력!D$4/계산도구!X7</f>
        <v>0.625</v>
      </c>
      <c r="U7" s="998">
        <f>성적입력!E$4/계산도구!Y7</f>
        <v>0.69499999999999995</v>
      </c>
      <c r="V7" s="999">
        <f>성적입력!F$4/계산도구!Z7</f>
        <v>0.57499999999999996</v>
      </c>
      <c r="W7" s="1000"/>
      <c r="X7" s="1385">
        <v>200</v>
      </c>
      <c r="Y7" s="1386">
        <v>200</v>
      </c>
      <c r="Z7" s="1386">
        <v>200</v>
      </c>
      <c r="AA7" s="1002">
        <v>100</v>
      </c>
      <c r="AB7" s="1003">
        <v>100</v>
      </c>
      <c r="AC7" s="990"/>
      <c r="AD7" s="1004">
        <v>0.3</v>
      </c>
      <c r="AE7" s="1005">
        <v>0.3</v>
      </c>
      <c r="AF7" s="1005">
        <v>0.3</v>
      </c>
      <c r="AG7" s="1006">
        <v>0.1</v>
      </c>
      <c r="AH7" s="1323"/>
      <c r="AI7" s="1323"/>
      <c r="AJ7" s="990"/>
      <c r="AK7" s="1001"/>
      <c r="BD7" s="1001"/>
      <c r="BF7" s="1007"/>
      <c r="BG7" s="1001"/>
    </row>
    <row r="8" spans="1:59" s="226" customFormat="1" ht="14.25" thickBot="1">
      <c r="A8" s="1088" t="s">
        <v>316</v>
      </c>
      <c r="B8" s="1008" t="s">
        <v>59</v>
      </c>
      <c r="C8" s="440">
        <v>700</v>
      </c>
      <c r="D8" s="416">
        <f t="shared" si="2"/>
        <v>187.5</v>
      </c>
      <c r="E8" s="215">
        <f t="shared" si="2"/>
        <v>198.57142857142858</v>
      </c>
      <c r="F8" s="215">
        <f t="shared" si="2"/>
        <v>170.07042253521126</v>
      </c>
      <c r="G8" s="216">
        <f>M8</f>
        <v>68.881944444444457</v>
      </c>
      <c r="H8" s="217"/>
      <c r="I8" s="218">
        <f t="shared" si="3"/>
        <v>210</v>
      </c>
      <c r="J8" s="219">
        <f t="shared" si="3"/>
        <v>210</v>
      </c>
      <c r="K8" s="219">
        <f t="shared" si="3"/>
        <v>210</v>
      </c>
      <c r="L8" s="228">
        <f t="shared" si="3"/>
        <v>70</v>
      </c>
      <c r="M8" s="866">
        <f t="shared" si="4"/>
        <v>68.881944444444457</v>
      </c>
      <c r="N8" s="218">
        <f>IF(성적입력!G$3=0,0,HLOOKUP(성적입력!G$3,'서울대,한양대보정별첨'!$U$2:$AM$103,102-성적입력!G$4,FALSE)/$AA8)*70</f>
        <v>69.105555555555554</v>
      </c>
      <c r="O8" s="219">
        <f>IF(성적입력!H$3=0,0,HLOOKUP(성적입력!H$3,'서울대,한양대보정별첨'!$U$2:$AM$103,102-성적입력!H$4,FALSE)/$AA8)*70</f>
        <v>68.658333333333346</v>
      </c>
      <c r="P8" s="219">
        <f>IF(성적입력!I$3=0,0,HLOOKUP(성적입력!I$3,'서울대,한양대보정별첨'!$U$2:$AM$103,102-성적입력!I$4,FALSE)/$AA8)*70</f>
        <v>64.63333333333334</v>
      </c>
      <c r="Q8" s="219">
        <f>IF(성적입력!J$3=0,0,HLOOKUP(성적입력!J$3,'서울대,한양대보정별첨'!$U$2:$AM$103,102-성적입력!J$4,FALSE)/$AA8)*70</f>
        <v>53.452777777777769</v>
      </c>
      <c r="R8" s="228">
        <f>IF(성적입력!K$3=0,0,HLOOKUP(성적입력!K$3,'서울대,한양대보정별첨'!$U$2:$AM$103,102-성적입력!K$4,FALSE)/$AB8)*70</f>
        <v>32.880555555555553</v>
      </c>
      <c r="S8" s="217"/>
      <c r="T8" s="221">
        <f>성적입력!D$4/계산도구!X8</f>
        <v>0.8928571428571429</v>
      </c>
      <c r="U8" s="222">
        <f>성적입력!E$4/계산도구!Y8</f>
        <v>0.94557823129251706</v>
      </c>
      <c r="V8" s="223">
        <f>성적입력!F$4/계산도구!Z8</f>
        <v>0.8098591549295775</v>
      </c>
      <c r="W8" s="224"/>
      <c r="X8" s="225">
        <f>AK$2</f>
        <v>140</v>
      </c>
      <c r="Y8" s="226">
        <f>AL$2</f>
        <v>147</v>
      </c>
      <c r="Z8" s="226">
        <f>AM$2</f>
        <v>142</v>
      </c>
      <c r="AA8" s="226">
        <v>72</v>
      </c>
      <c r="AB8" s="227">
        <v>72</v>
      </c>
      <c r="AC8" s="217"/>
      <c r="AD8" s="1009">
        <v>0.3</v>
      </c>
      <c r="AE8" s="1010">
        <v>0.3</v>
      </c>
      <c r="AF8" s="1010">
        <v>0.3</v>
      </c>
      <c r="AG8" s="1011">
        <v>0.1</v>
      </c>
      <c r="AH8" s="1320"/>
      <c r="AI8" s="1320"/>
      <c r="AJ8" s="217"/>
      <c r="AK8" s="225"/>
      <c r="BD8" s="225"/>
      <c r="BF8" s="924"/>
      <c r="BG8" s="225"/>
    </row>
    <row r="9" spans="1:59" s="19" customFormat="1">
      <c r="A9" s="1092" t="s">
        <v>64</v>
      </c>
      <c r="B9" s="207" t="s">
        <v>59</v>
      </c>
      <c r="C9" s="443">
        <v>600</v>
      </c>
      <c r="D9" s="419">
        <f t="shared" si="2"/>
        <v>165.6</v>
      </c>
      <c r="E9" s="182">
        <f t="shared" si="2"/>
        <v>144</v>
      </c>
      <c r="F9" s="182">
        <f t="shared" si="2"/>
        <v>109.5</v>
      </c>
      <c r="G9" s="183">
        <f t="shared" ref="G9:G15" si="5">M9*L9</f>
        <v>117</v>
      </c>
      <c r="H9" s="46"/>
      <c r="I9" s="37">
        <f t="shared" si="3"/>
        <v>180</v>
      </c>
      <c r="J9" s="22">
        <f t="shared" si="3"/>
        <v>150</v>
      </c>
      <c r="K9" s="22">
        <f t="shared" si="3"/>
        <v>150</v>
      </c>
      <c r="L9" s="171">
        <f t="shared" si="3"/>
        <v>120</v>
      </c>
      <c r="M9" s="687">
        <f t="shared" si="4"/>
        <v>0.97499999999999998</v>
      </c>
      <c r="N9" s="37">
        <f>성적입력!G$5/계산도구!$AA9</f>
        <v>0.98</v>
      </c>
      <c r="O9" s="22">
        <f>성적입력!H$5/계산도구!$AA9</f>
        <v>0.97</v>
      </c>
      <c r="P9" s="22">
        <f>성적입력!I$5/계산도구!$AA9</f>
        <v>0.88</v>
      </c>
      <c r="Q9" s="22">
        <f>성적입력!J$5/계산도구!$AA9</f>
        <v>0.63</v>
      </c>
      <c r="R9" s="62"/>
      <c r="S9" s="46"/>
      <c r="T9" s="67">
        <f>성적입력!D$5/계산도구!X9</f>
        <v>0.92</v>
      </c>
      <c r="U9" s="21">
        <f>성적입력!E$5/계산도구!Y9</f>
        <v>0.96</v>
      </c>
      <c r="V9" s="32">
        <f>성적입력!F$5/계산도구!Z9</f>
        <v>0.73</v>
      </c>
      <c r="W9" s="72"/>
      <c r="X9" s="57">
        <v>100</v>
      </c>
      <c r="Y9" s="19">
        <v>100</v>
      </c>
      <c r="Z9" s="19">
        <v>100</v>
      </c>
      <c r="AA9" s="19">
        <v>100</v>
      </c>
      <c r="AB9" s="77">
        <v>100</v>
      </c>
      <c r="AC9" s="46"/>
      <c r="AD9" s="546">
        <v>0.3</v>
      </c>
      <c r="AE9" s="547">
        <v>0.25</v>
      </c>
      <c r="AF9" s="547">
        <v>0.25</v>
      </c>
      <c r="AG9" s="548">
        <v>0.2</v>
      </c>
      <c r="AH9" s="1324"/>
      <c r="AI9" s="1324"/>
      <c r="AJ9" s="46"/>
      <c r="AK9" s="57"/>
      <c r="BD9" s="57"/>
      <c r="BF9" s="912"/>
      <c r="BG9" s="57"/>
    </row>
    <row r="10" spans="1:59" s="10" customFormat="1">
      <c r="A10" s="1093" t="s">
        <v>317</v>
      </c>
      <c r="B10" s="208" t="s">
        <v>65</v>
      </c>
      <c r="C10" s="444">
        <v>600</v>
      </c>
      <c r="D10" s="420">
        <f t="shared" si="2"/>
        <v>165.6</v>
      </c>
      <c r="E10" s="184">
        <f t="shared" si="2"/>
        <v>144</v>
      </c>
      <c r="F10" s="184">
        <f t="shared" si="2"/>
        <v>109.5</v>
      </c>
      <c r="G10" s="185">
        <f t="shared" si="5"/>
        <v>117</v>
      </c>
      <c r="H10" s="47"/>
      <c r="I10" s="38">
        <f t="shared" si="3"/>
        <v>180</v>
      </c>
      <c r="J10" s="12">
        <f t="shared" si="3"/>
        <v>150</v>
      </c>
      <c r="K10" s="12">
        <f t="shared" si="3"/>
        <v>150</v>
      </c>
      <c r="L10" s="172">
        <f t="shared" si="3"/>
        <v>120</v>
      </c>
      <c r="M10" s="638">
        <f t="shared" si="4"/>
        <v>0.97499999999999998</v>
      </c>
      <c r="N10" s="38">
        <f>성적입력!G$5/계산도구!$AA10</f>
        <v>0.98</v>
      </c>
      <c r="O10" s="12">
        <f>성적입력!H$5/계산도구!$AA10</f>
        <v>0.97</v>
      </c>
      <c r="P10" s="13">
        <f>성적입력!I$5/계산도구!$AA10</f>
        <v>0.88</v>
      </c>
      <c r="Q10" s="13">
        <f>성적입력!J$5/계산도구!$AA10</f>
        <v>0.63</v>
      </c>
      <c r="R10" s="63">
        <f>성적입력!K$5/계산도구!$AB9</f>
        <v>0.17</v>
      </c>
      <c r="S10" s="47"/>
      <c r="T10" s="68">
        <f>성적입력!D$5/계산도구!X10</f>
        <v>0.92</v>
      </c>
      <c r="U10" s="11">
        <f>성적입력!E$5/계산도구!Y10</f>
        <v>0.96</v>
      </c>
      <c r="V10" s="33">
        <f>성적입력!F$5/계산도구!Z10</f>
        <v>0.73</v>
      </c>
      <c r="W10" s="73"/>
      <c r="X10" s="58">
        <v>100</v>
      </c>
      <c r="Y10" s="10">
        <v>100</v>
      </c>
      <c r="Z10" s="10">
        <v>100</v>
      </c>
      <c r="AA10" s="10">
        <v>100</v>
      </c>
      <c r="AB10" s="78">
        <v>100</v>
      </c>
      <c r="AC10" s="47"/>
      <c r="AD10" s="549">
        <v>0.3</v>
      </c>
      <c r="AE10" s="550">
        <v>0.25</v>
      </c>
      <c r="AF10" s="550">
        <v>0.25</v>
      </c>
      <c r="AG10" s="551">
        <v>0.2</v>
      </c>
      <c r="AH10" s="1325"/>
      <c r="AI10" s="1325"/>
      <c r="AJ10" s="47"/>
      <c r="AK10" s="58"/>
      <c r="BD10" s="58"/>
      <c r="BF10" s="927"/>
      <c r="BG10" s="58"/>
    </row>
    <row r="11" spans="1:59" s="20" customFormat="1" ht="14.25" thickBot="1">
      <c r="A11" s="1094" t="s">
        <v>329</v>
      </c>
      <c r="B11" s="209" t="s">
        <v>66</v>
      </c>
      <c r="C11" s="445">
        <v>600</v>
      </c>
      <c r="D11" s="421">
        <f>IF(T11&gt;=V11,T11*I11,0)</f>
        <v>220.8</v>
      </c>
      <c r="E11" s="186">
        <f t="shared" si="2"/>
        <v>201.6</v>
      </c>
      <c r="F11" s="186">
        <f>IF(V11&gt;T11,V11*K11,0)</f>
        <v>0</v>
      </c>
      <c r="G11" s="187">
        <f t="shared" si="5"/>
        <v>146.25</v>
      </c>
      <c r="H11" s="48"/>
      <c r="I11" s="39">
        <f t="shared" si="3"/>
        <v>240</v>
      </c>
      <c r="J11" s="25">
        <f t="shared" si="3"/>
        <v>210</v>
      </c>
      <c r="K11" s="25">
        <f t="shared" si="3"/>
        <v>240</v>
      </c>
      <c r="L11" s="173">
        <f t="shared" si="3"/>
        <v>150</v>
      </c>
      <c r="M11" s="688">
        <f t="shared" si="4"/>
        <v>0.97499999999999998</v>
      </c>
      <c r="N11" s="39">
        <f>성적입력!G$5/계산도구!$AA11</f>
        <v>0.98</v>
      </c>
      <c r="O11" s="25">
        <f>성적입력!H$5/계산도구!$AA11</f>
        <v>0.97</v>
      </c>
      <c r="P11" s="26">
        <f>성적입력!I$5/계산도구!$AA11</f>
        <v>0.88</v>
      </c>
      <c r="Q11" s="26">
        <f>성적입력!J$5/계산도구!$AA11</f>
        <v>0.63</v>
      </c>
      <c r="R11" s="64"/>
      <c r="S11" s="48"/>
      <c r="T11" s="69">
        <f>성적입력!D$5/계산도구!X11</f>
        <v>0.92</v>
      </c>
      <c r="U11" s="24">
        <f>성적입력!E$5/계산도구!Y11</f>
        <v>0.96</v>
      </c>
      <c r="V11" s="34">
        <f>성적입력!F$5/계산도구!Z11</f>
        <v>0.73</v>
      </c>
      <c r="W11" s="74"/>
      <c r="X11" s="59">
        <v>100</v>
      </c>
      <c r="Y11" s="20">
        <v>100</v>
      </c>
      <c r="Z11" s="20">
        <v>100</v>
      </c>
      <c r="AA11" s="20">
        <v>100</v>
      </c>
      <c r="AB11" s="79">
        <v>100</v>
      </c>
      <c r="AC11" s="48"/>
      <c r="AD11" s="552">
        <v>0.4</v>
      </c>
      <c r="AE11" s="553">
        <v>0.35</v>
      </c>
      <c r="AF11" s="553">
        <v>0.4</v>
      </c>
      <c r="AG11" s="554">
        <v>0.25</v>
      </c>
      <c r="AH11" s="1326"/>
      <c r="AI11" s="1326"/>
      <c r="AJ11" s="48"/>
      <c r="AK11" s="59"/>
      <c r="BD11" s="59"/>
      <c r="BF11" s="913"/>
      <c r="BG11" s="59"/>
    </row>
    <row r="12" spans="1:59" s="100" customFormat="1">
      <c r="A12" s="1095" t="s">
        <v>67</v>
      </c>
      <c r="B12" s="205" t="s">
        <v>59</v>
      </c>
      <c r="C12" s="975">
        <v>700</v>
      </c>
      <c r="D12" s="422">
        <f>ROUNDUP(T12*I12,3)</f>
        <v>178.75</v>
      </c>
      <c r="E12" s="179">
        <f>ROUNDUP(U12*J12,3)</f>
        <v>189.30500000000001</v>
      </c>
      <c r="F12" s="179">
        <f>ROUNDUP(V12*K12,3)</f>
        <v>162.13400000000001</v>
      </c>
      <c r="G12" s="180">
        <f>ROUNDUP(M12*L12,3)</f>
        <v>98.282000000000011</v>
      </c>
      <c r="H12" s="92"/>
      <c r="I12" s="96">
        <f t="shared" si="3"/>
        <v>200.2</v>
      </c>
      <c r="J12" s="97">
        <f t="shared" si="3"/>
        <v>200.2</v>
      </c>
      <c r="K12" s="97">
        <f t="shared" si="3"/>
        <v>200.2</v>
      </c>
      <c r="L12" s="169">
        <f t="shared" si="3"/>
        <v>99.399999999999991</v>
      </c>
      <c r="M12" s="661">
        <f t="shared" si="4"/>
        <v>0.98875000000000002</v>
      </c>
      <c r="N12" s="96">
        <f>VLOOKUP(성적입력!G$5,보정점수표!$A$3:$M$103,7,FALSE)/$AA12</f>
        <v>0.99097222222222214</v>
      </c>
      <c r="O12" s="97">
        <f>VLOOKUP(성적입력!H$5,보정점수표!$A$3:$M$103,7,FALSE)/$AA12</f>
        <v>0.98652777777777778</v>
      </c>
      <c r="P12" s="127">
        <f>VLOOKUP(성적입력!I$5,보정점수표!$A$3:$M$103,7,FALSE)/$AA12</f>
        <v>0.94597222222222221</v>
      </c>
      <c r="Q12" s="127">
        <f>VLOOKUP(성적입력!J$5,보정점수표!$A$3:$M$103,7,FALSE)/$AA12</f>
        <v>0.83347222222222217</v>
      </c>
      <c r="R12" s="154">
        <f>VLOOKUP(성적입력!K$5,보정점수표!$M$3:$V$103,7,FALSE)/AB12</f>
        <v>0.63097222222222227</v>
      </c>
      <c r="S12" s="92"/>
      <c r="T12" s="98">
        <f>성적입력!D$4/계산도구!X12</f>
        <v>0.8928571428571429</v>
      </c>
      <c r="U12" s="94">
        <f>성적입력!E$4/계산도구!Y12</f>
        <v>0.94557823129251706</v>
      </c>
      <c r="V12" s="95">
        <f>성적입력!F$4/계산도구!Z12</f>
        <v>0.8098591549295775</v>
      </c>
      <c r="W12" s="99"/>
      <c r="X12" s="1135">
        <f t="shared" ref="X12:Z16" si="6">AK$2</f>
        <v>140</v>
      </c>
      <c r="Y12" s="1131">
        <f t="shared" si="6"/>
        <v>147</v>
      </c>
      <c r="Z12" s="1131">
        <f t="shared" si="6"/>
        <v>142</v>
      </c>
      <c r="AA12" s="1131">
        <f>보정점수표!$G3</f>
        <v>72</v>
      </c>
      <c r="AB12" s="1133">
        <f>보정점수표!$S3</f>
        <v>72</v>
      </c>
      <c r="AC12" s="92"/>
      <c r="AD12" s="909">
        <v>0.28599999999999998</v>
      </c>
      <c r="AE12" s="910">
        <v>0.28599999999999998</v>
      </c>
      <c r="AF12" s="910">
        <v>0.28599999999999998</v>
      </c>
      <c r="AG12" s="911">
        <v>0.14199999999999999</v>
      </c>
      <c r="AH12" s="1327"/>
      <c r="AI12" s="1327"/>
      <c r="AJ12" s="92"/>
      <c r="AK12" s="93"/>
      <c r="BD12" s="93"/>
      <c r="BF12" s="871"/>
      <c r="BG12" s="93"/>
    </row>
    <row r="13" spans="1:59" s="110" customFormat="1" ht="14.25" thickBot="1">
      <c r="A13" s="1096" t="s">
        <v>68</v>
      </c>
      <c r="B13" s="206" t="s">
        <v>69</v>
      </c>
      <c r="C13" s="976">
        <v>700</v>
      </c>
      <c r="D13" s="423">
        <f t="shared" ref="D13:D22" si="7">T13*I13</f>
        <v>187.5</v>
      </c>
      <c r="E13" s="181">
        <f t="shared" si="2"/>
        <v>132.38095238095238</v>
      </c>
      <c r="F13" s="181">
        <f t="shared" si="2"/>
        <v>170.07042253521126</v>
      </c>
      <c r="G13" s="188">
        <f t="shared" si="5"/>
        <v>138.42500000000001</v>
      </c>
      <c r="H13" s="102"/>
      <c r="I13" s="106">
        <f t="shared" si="3"/>
        <v>210</v>
      </c>
      <c r="J13" s="107">
        <f t="shared" si="3"/>
        <v>140</v>
      </c>
      <c r="K13" s="107">
        <f t="shared" si="3"/>
        <v>210</v>
      </c>
      <c r="L13" s="170">
        <f t="shared" si="3"/>
        <v>140</v>
      </c>
      <c r="M13" s="661">
        <f t="shared" si="4"/>
        <v>0.98875000000000002</v>
      </c>
      <c r="N13" s="106">
        <f>VLOOKUP(성적입력!G$5,보정점수표!$A$3:$M$103,7,FALSE)/$AA13</f>
        <v>0.99097222222222214</v>
      </c>
      <c r="O13" s="107">
        <f>VLOOKUP(성적입력!H$5,보정점수표!$A$3:$M$103,7,FALSE)/$AA13</f>
        <v>0.98652777777777778</v>
      </c>
      <c r="P13" s="114">
        <f>VLOOKUP(성적입력!I$5,보정점수표!$A$3:$M$103,7,FALSE)/$AA13</f>
        <v>0.94597222222222221</v>
      </c>
      <c r="Q13" s="114">
        <f>VLOOKUP(성적입력!J$5,보정점수표!$A$3:$M$103,7,FALSE)/$AA13</f>
        <v>0.83347222222222217</v>
      </c>
      <c r="R13" s="115">
        <f>VLOOKUP(성적입력!K$5,보정점수표!$M$3:$V$103,7,FALSE)/AB13</f>
        <v>0.63097222222222227</v>
      </c>
      <c r="S13" s="102"/>
      <c r="T13" s="108">
        <f>성적입력!D$4/계산도구!X13</f>
        <v>0.8928571428571429</v>
      </c>
      <c r="U13" s="104">
        <f>성적입력!E$4/계산도구!Y13</f>
        <v>0.94557823129251706</v>
      </c>
      <c r="V13" s="105">
        <f>성적입력!F$4/계산도구!Z13</f>
        <v>0.8098591549295775</v>
      </c>
      <c r="W13" s="109"/>
      <c r="X13" s="1134">
        <f t="shared" si="6"/>
        <v>140</v>
      </c>
      <c r="Y13" s="1132">
        <f t="shared" si="6"/>
        <v>147</v>
      </c>
      <c r="Z13" s="1132">
        <f t="shared" si="6"/>
        <v>142</v>
      </c>
      <c r="AA13" s="1131">
        <f>보정점수표!$G3</f>
        <v>72</v>
      </c>
      <c r="AB13" s="1133">
        <f>보정점수표!$S3</f>
        <v>72</v>
      </c>
      <c r="AC13" s="102"/>
      <c r="AD13" s="558">
        <v>0.3</v>
      </c>
      <c r="AE13" s="559">
        <v>0.2</v>
      </c>
      <c r="AF13" s="559">
        <v>0.3</v>
      </c>
      <c r="AG13" s="560">
        <v>0.2</v>
      </c>
      <c r="AH13" s="1328"/>
      <c r="AI13" s="1328"/>
      <c r="AJ13" s="102"/>
      <c r="AK13" s="103"/>
      <c r="BD13" s="103"/>
      <c r="BF13" s="870"/>
      <c r="BG13" s="103"/>
    </row>
    <row r="14" spans="1:59" s="125" customFormat="1">
      <c r="A14" s="1097" t="s">
        <v>330</v>
      </c>
      <c r="B14" s="865" t="s">
        <v>259</v>
      </c>
      <c r="C14" s="448">
        <v>700</v>
      </c>
      <c r="D14" s="424">
        <f t="shared" si="7"/>
        <v>187.5</v>
      </c>
      <c r="E14" s="258">
        <f t="shared" si="2"/>
        <v>165.47619047619048</v>
      </c>
      <c r="F14" s="258">
        <f>IF((V14*0.9+R14*0.1)&gt;V14,(V14*0.9+R14*0.1)*K14,V14*K14)</f>
        <v>170.07042253521126</v>
      </c>
      <c r="G14" s="271">
        <f t="shared" si="5"/>
        <v>101.21739130434783</v>
      </c>
      <c r="H14" s="128"/>
      <c r="I14" s="203">
        <f t="shared" si="3"/>
        <v>210</v>
      </c>
      <c r="J14" s="259">
        <f t="shared" si="3"/>
        <v>175</v>
      </c>
      <c r="K14" s="259">
        <f t="shared" si="3"/>
        <v>210</v>
      </c>
      <c r="L14" s="276">
        <f t="shared" si="3"/>
        <v>105</v>
      </c>
      <c r="M14" s="635">
        <f>(LARGE($N$14:$R$14,1)+LARGE($N$14:$R$14,2))/2</f>
        <v>0.96397515527950306</v>
      </c>
      <c r="N14" s="203">
        <f>IF(성적입력!G$3=0,0,성적입력!G$4/HLOOKUP(성적입력!G$3,계산도구!$AN$1:$BZ$3,2,FALSE))</f>
        <v>0.97142857142857142</v>
      </c>
      <c r="O14" s="259">
        <f>IF(성적입력!H$3=0,0,성적입력!H$4/HLOOKUP(성적입력!H$3,계산도구!$AN$1:$BZ$3,2,FALSE))</f>
        <v>0.95652173913043481</v>
      </c>
      <c r="P14" s="260">
        <f>IF(성적입력!I$3=0,0,성적입력!I$4/HLOOKUP(성적입력!I$3,계산도구!$AN$1:$BZ$3,2,FALSE))</f>
        <v>0.81578947368421051</v>
      </c>
      <c r="Q14" s="260">
        <f>IF(성적입력!J$3=0,0,성적입력!J$4/HLOOKUP(성적입력!J$3,계산도구!$AN$1:$BZ$3,2,FALSE))</f>
        <v>0.79710144927536231</v>
      </c>
      <c r="R14" s="272">
        <f>IF(성적입력!K$3=0,0,성적입력!K$4/HLOOKUP(성적입력!K$3,계산도구!$AN$1:$BZ$3,2,FALSE))</f>
        <v>0.4777777777777778</v>
      </c>
      <c r="S14" s="128"/>
      <c r="T14" s="273">
        <f>성적입력!D$4/계산도구!X14</f>
        <v>0.8928571428571429</v>
      </c>
      <c r="U14" s="261">
        <f>성적입력!E$4/계산도구!Y14</f>
        <v>0.94557823129251706</v>
      </c>
      <c r="V14" s="274">
        <f>성적입력!F$4/계산도구!Z14</f>
        <v>0.8098591549295775</v>
      </c>
      <c r="W14" s="275"/>
      <c r="X14" s="139">
        <f t="shared" si="6"/>
        <v>140</v>
      </c>
      <c r="Y14" s="125">
        <f t="shared" si="6"/>
        <v>147</v>
      </c>
      <c r="Z14" s="125">
        <f t="shared" si="6"/>
        <v>142</v>
      </c>
      <c r="AB14" s="143"/>
      <c r="AC14" s="128"/>
      <c r="AD14" s="561">
        <v>0.3</v>
      </c>
      <c r="AE14" s="562">
        <v>0.25</v>
      </c>
      <c r="AF14" s="562">
        <v>0.3</v>
      </c>
      <c r="AG14" s="563">
        <v>0.15</v>
      </c>
      <c r="AH14" s="1329"/>
      <c r="AI14" s="1329"/>
      <c r="AJ14" s="128"/>
      <c r="AK14" s="139"/>
      <c r="BD14" s="139"/>
      <c r="BF14" s="147"/>
      <c r="BG14" s="139"/>
    </row>
    <row r="15" spans="1:59" s="122" customFormat="1">
      <c r="A15" s="1098" t="s">
        <v>331</v>
      </c>
      <c r="B15" s="630" t="s">
        <v>228</v>
      </c>
      <c r="C15" s="617">
        <v>700</v>
      </c>
      <c r="D15" s="618">
        <f t="shared" si="7"/>
        <v>156.25</v>
      </c>
      <c r="E15" s="619">
        <f t="shared" si="2"/>
        <v>198.57142857142858</v>
      </c>
      <c r="F15" s="619">
        <f>IF((V15*0.9+R15*0.1)&gt;V15,(V15*0.9+R15*0.1)*K15,V15*K15)</f>
        <v>170.07042253521126</v>
      </c>
      <c r="G15" s="620">
        <f t="shared" si="5"/>
        <v>101.21739130434783</v>
      </c>
      <c r="H15" s="132"/>
      <c r="I15" s="621">
        <f t="shared" si="3"/>
        <v>175</v>
      </c>
      <c r="J15" s="622">
        <f t="shared" si="3"/>
        <v>210</v>
      </c>
      <c r="K15" s="622">
        <f t="shared" si="3"/>
        <v>210</v>
      </c>
      <c r="L15" s="623">
        <f t="shared" si="3"/>
        <v>105</v>
      </c>
      <c r="M15" s="634">
        <f>(LARGE($N$14:$R$14,1)+LARGE($N$14:$R$14,2))/2</f>
        <v>0.96397515527950306</v>
      </c>
      <c r="N15" s="621">
        <f>IF(성적입력!G$3=0,0,성적입력!G$4/HLOOKUP(성적입력!G$3,계산도구!$AN$1:$BZ$3,2,FALSE))</f>
        <v>0.97142857142857142</v>
      </c>
      <c r="O15" s="622">
        <f>IF(성적입력!H$3=0,0,성적입력!H$4/HLOOKUP(성적입력!H$3,계산도구!$AN$1:$BZ$3,2,FALSE))</f>
        <v>0.95652173913043481</v>
      </c>
      <c r="P15" s="624">
        <f>IF(성적입력!I$3=0,0,성적입력!I$4/HLOOKUP(성적입력!I$3,계산도구!$AN$1:$BZ$3,2,FALSE))</f>
        <v>0.81578947368421051</v>
      </c>
      <c r="Q15" s="624">
        <f>IF(성적입력!J$3=0,0,성적입력!J$4/HLOOKUP(성적입력!J$3,계산도구!$AN$1:$BZ$3,2,FALSE))</f>
        <v>0.79710144927536231</v>
      </c>
      <c r="R15" s="625">
        <f>IF(성적입력!K$3=0,0,성적입력!K$4/HLOOKUP(성적입력!K$3,계산도구!$AN$1:$BZ$3,2,FALSE))</f>
        <v>0.4777777777777778</v>
      </c>
      <c r="S15" s="132"/>
      <c r="T15" s="626">
        <f>성적입력!D$4/계산도구!X15</f>
        <v>0.8928571428571429</v>
      </c>
      <c r="U15" s="627">
        <f>성적입력!E$4/계산도구!Y15</f>
        <v>0.94557823129251706</v>
      </c>
      <c r="V15" s="628">
        <f>성적입력!F$4/계산도구!Z15</f>
        <v>0.8098591549295775</v>
      </c>
      <c r="W15" s="629"/>
      <c r="X15" s="138">
        <f t="shared" si="6"/>
        <v>140</v>
      </c>
      <c r="Y15" s="122">
        <f t="shared" si="6"/>
        <v>147</v>
      </c>
      <c r="Z15" s="122">
        <f t="shared" si="6"/>
        <v>142</v>
      </c>
      <c r="AB15" s="142"/>
      <c r="AC15" s="132"/>
      <c r="AD15" s="631">
        <v>0.25</v>
      </c>
      <c r="AE15" s="632">
        <v>0.3</v>
      </c>
      <c r="AF15" s="632">
        <v>0.3</v>
      </c>
      <c r="AG15" s="633">
        <v>0.15</v>
      </c>
      <c r="AH15" s="1330"/>
      <c r="AI15" s="1330"/>
      <c r="AJ15" s="132"/>
      <c r="AK15" s="138"/>
      <c r="BD15" s="138"/>
      <c r="BF15" s="146"/>
      <c r="BG15" s="138"/>
    </row>
    <row r="16" spans="1:59" s="126" customFormat="1" ht="14.25" thickBot="1">
      <c r="A16" s="1099" t="s">
        <v>332</v>
      </c>
      <c r="B16" s="277" t="s">
        <v>234</v>
      </c>
      <c r="C16" s="449">
        <v>700</v>
      </c>
      <c r="D16" s="425">
        <f t="shared" si="7"/>
        <v>156.25</v>
      </c>
      <c r="E16" s="266">
        <f>U16*J16</f>
        <v>198.57142857142858</v>
      </c>
      <c r="F16" s="266">
        <f>IF((V16*0.9+R16*0.1)&gt;V16,(V16*0.9+R16*0.1)*K16,V16*K16)</f>
        <v>170.07042253521126</v>
      </c>
      <c r="G16" s="278">
        <f>M16*L16</f>
        <v>101.21739130434783</v>
      </c>
      <c r="H16" s="130"/>
      <c r="I16" s="279">
        <f>AD16*$C16</f>
        <v>175</v>
      </c>
      <c r="J16" s="267">
        <f>AE16*$C16</f>
        <v>210</v>
      </c>
      <c r="K16" s="267">
        <f>AF16*$C16</f>
        <v>210</v>
      </c>
      <c r="L16" s="284">
        <f>AG16*$C16</f>
        <v>105</v>
      </c>
      <c r="M16" s="636">
        <f>(LARGE($N$14:$R$14,1)+LARGE($N$14:$R$14,2))/2</f>
        <v>0.96397515527950306</v>
      </c>
      <c r="N16" s="279">
        <f>IF(성적입력!G$3=0,0,성적입력!G$4/HLOOKUP(성적입력!G$3,계산도구!$AN$1:$BZ$3,2,FALSE))</f>
        <v>0.97142857142857142</v>
      </c>
      <c r="O16" s="267">
        <f>IF(성적입력!H$3=0,0,성적입력!H$4/HLOOKUP(성적입력!H$3,계산도구!$AN$1:$BZ$3,2,FALSE))</f>
        <v>0.95652173913043481</v>
      </c>
      <c r="P16" s="268">
        <f>IF(성적입력!I$3=0,0,성적입력!I$4/HLOOKUP(성적입력!I$3,계산도구!$AN$1:$BZ$3,2,FALSE))</f>
        <v>0.81578947368421051</v>
      </c>
      <c r="Q16" s="268">
        <f>IF(성적입력!J$3=0,0,성적입력!J$4/HLOOKUP(성적입력!J$3,계산도구!$AN$1:$BZ$3,2,FALSE))</f>
        <v>0.79710144927536231</v>
      </c>
      <c r="R16" s="280">
        <f>IF(성적입력!K$3=0,0,성적입력!K$4/HLOOKUP(성적입력!K$3,계산도구!$AN$1:$BZ$3,2,FALSE))</f>
        <v>0.4777777777777778</v>
      </c>
      <c r="S16" s="130"/>
      <c r="T16" s="281">
        <f>성적입력!D$4/계산도구!X16</f>
        <v>0.8928571428571429</v>
      </c>
      <c r="U16" s="269">
        <f>성적입력!E$4/계산도구!Y16</f>
        <v>0.94557823129251706</v>
      </c>
      <c r="V16" s="282">
        <f>성적입력!F$4/계산도구!Z16</f>
        <v>0.8098591549295775</v>
      </c>
      <c r="W16" s="283"/>
      <c r="X16" s="141">
        <f t="shared" si="6"/>
        <v>140</v>
      </c>
      <c r="Y16" s="126">
        <f t="shared" si="6"/>
        <v>147</v>
      </c>
      <c r="Z16" s="126">
        <f t="shared" si="6"/>
        <v>142</v>
      </c>
      <c r="AB16" s="145"/>
      <c r="AC16" s="130"/>
      <c r="AD16" s="564">
        <v>0.25</v>
      </c>
      <c r="AE16" s="565">
        <v>0.3</v>
      </c>
      <c r="AF16" s="565">
        <v>0.3</v>
      </c>
      <c r="AG16" s="566">
        <v>0.15</v>
      </c>
      <c r="AH16" s="1331"/>
      <c r="AI16" s="1331"/>
      <c r="AJ16" s="130"/>
      <c r="AK16" s="141"/>
      <c r="BD16" s="141"/>
      <c r="BF16" s="149"/>
      <c r="BG16" s="141"/>
    </row>
    <row r="17" spans="1:59" s="378" customFormat="1" ht="14.25" thickBot="1">
      <c r="A17" s="1100" t="s">
        <v>71</v>
      </c>
      <c r="B17" s="368" t="s">
        <v>59</v>
      </c>
      <c r="C17" s="450">
        <v>800</v>
      </c>
      <c r="D17" s="426">
        <f t="shared" si="7"/>
        <v>137.50000000000003</v>
      </c>
      <c r="E17" s="369">
        <f t="shared" si="2"/>
        <v>111.19999999999999</v>
      </c>
      <c r="F17" s="369">
        <f t="shared" si="2"/>
        <v>184</v>
      </c>
      <c r="G17" s="370">
        <f>M17</f>
        <v>73.68989769820972</v>
      </c>
      <c r="H17" s="124"/>
      <c r="I17" s="371">
        <f t="shared" si="3"/>
        <v>220.00000000000003</v>
      </c>
      <c r="J17" s="372">
        <f t="shared" si="3"/>
        <v>160</v>
      </c>
      <c r="K17" s="372">
        <f t="shared" si="3"/>
        <v>320</v>
      </c>
      <c r="L17" s="379">
        <f t="shared" si="3"/>
        <v>100</v>
      </c>
      <c r="M17" s="974">
        <f>(LARGE(N17:R17,1)+LARGE(N17:R17,2))/2</f>
        <v>73.68989769820972</v>
      </c>
      <c r="N17" s="371">
        <f>IF(성적입력!G$3=0,0,(75-(((101-성적입력!G$4)*(101-성적입력!G$5))/(HLOOKUP(성적입력!G$3,계산도구!$AN$1:$BZ$3,2,FALSE)-HLOOKUP(성적입력!G$3,계산도구!$AN$1:$BZ$3,3,FALSE)+25)*0.75)))</f>
        <v>73.923913043478265</v>
      </c>
      <c r="O17" s="372">
        <f>IF(성적입력!H$3=0,0,(75-(((101-성적입력!H$4)*(101-성적입력!H$5))/(HLOOKUP(성적입력!H$3,계산도구!$AN$1:$BZ$3,2,FALSE)-HLOOKUP(성적입력!H$3,계산도구!$AN$1:$BZ$3,3,FALSE)+25)*0.75)))</f>
        <v>73.455882352941174</v>
      </c>
      <c r="P17" s="372">
        <f>IF(성적입력!I$3=0,0,(75-(((101-성적입력!I$4)*(101-성적입력!I$5))/(HLOOKUP(성적입력!I$3,계산도구!$AN$1:$BZ$3,2,FALSE)-HLOOKUP(성적입력!I$3,계산도구!$AN$1:$BZ$3,3,FALSE)+25)*0.75)))</f>
        <v>70.186708860759495</v>
      </c>
      <c r="Q17" s="372">
        <f>IF(성적입력!J$3=0,0,(75-(((101-성적입력!J$4)*(101-성적입력!J$5))/(HLOOKUP(성적입력!J$3,계산도구!$AN$1:$BZ$3,2,FALSE)-HLOOKUP(성적입력!J$3,계산도구!$AN$1:$BZ$3,3,FALSE)+25)*0.75)))</f>
        <v>55.720588235294116</v>
      </c>
      <c r="R17" s="379">
        <f>IF(성적입력!K$3=0,0,(75-(((101-성적입력!K$4)*(101-성적입력!K$5))/(HLOOKUP(성적입력!K$3,계산도구!$AN$1:$BZ$3,2,FALSE)-HLOOKUP(성적입력!K$3,계산도구!$AN$1:$BZ$3,3,FALSE)+25)*0.75)))</f>
        <v>29.888888888888893</v>
      </c>
      <c r="S17" s="124"/>
      <c r="T17" s="373">
        <f>성적입력!D$4/계산도구!X17</f>
        <v>0.625</v>
      </c>
      <c r="U17" s="374">
        <f>성적입력!E$4/계산도구!Y17</f>
        <v>0.69499999999999995</v>
      </c>
      <c r="V17" s="375">
        <f>성적입력!F$4/계산도구!Z17</f>
        <v>0.57499999999999996</v>
      </c>
      <c r="W17" s="376"/>
      <c r="X17" s="377">
        <v>200</v>
      </c>
      <c r="Y17" s="378">
        <v>200</v>
      </c>
      <c r="Z17" s="378">
        <v>200</v>
      </c>
      <c r="AB17" s="367"/>
      <c r="AC17" s="124"/>
      <c r="AD17" s="567">
        <v>0.27500000000000002</v>
      </c>
      <c r="AE17" s="568">
        <v>0.2</v>
      </c>
      <c r="AF17" s="568">
        <v>0.4</v>
      </c>
      <c r="AG17" s="569">
        <v>0.125</v>
      </c>
      <c r="AH17" s="1332"/>
      <c r="AI17" s="1332"/>
      <c r="AJ17" s="124"/>
      <c r="AK17" s="377"/>
      <c r="BD17" s="377"/>
      <c r="BF17" s="928"/>
      <c r="BG17" s="377"/>
    </row>
    <row r="18" spans="1:59" s="226" customFormat="1" ht="14.25" thickBot="1">
      <c r="A18" s="1088" t="s">
        <v>72</v>
      </c>
      <c r="B18" s="214" t="s">
        <v>59</v>
      </c>
      <c r="C18" s="440">
        <v>700</v>
      </c>
      <c r="D18" s="416">
        <f t="shared" si="7"/>
        <v>156.25</v>
      </c>
      <c r="E18" s="215">
        <f t="shared" si="2"/>
        <v>198.57142857142858</v>
      </c>
      <c r="F18" s="215">
        <f t="shared" si="2"/>
        <v>170.07042253521126</v>
      </c>
      <c r="G18" s="216">
        <f>M18*L18</f>
        <v>100.09351391776099</v>
      </c>
      <c r="H18" s="217"/>
      <c r="I18" s="218">
        <f t="shared" si="3"/>
        <v>175</v>
      </c>
      <c r="J18" s="219">
        <f t="shared" si="3"/>
        <v>210</v>
      </c>
      <c r="K18" s="219">
        <f t="shared" si="3"/>
        <v>210</v>
      </c>
      <c r="L18" s="228">
        <f t="shared" si="3"/>
        <v>105</v>
      </c>
      <c r="M18" s="866">
        <f>(LARGE(N18:R18,1)+LARGE(N18:R18,2))/2</f>
        <v>0.95327156112153322</v>
      </c>
      <c r="N18" s="218">
        <f>VLOOKUP(성적입력!G$5,보정점수표!$A$3:$M$103,8,FALSE)/$AA18</f>
        <v>0.95956497490239812</v>
      </c>
      <c r="O18" s="219">
        <f>VLOOKUP(성적입력!H$5,보정점수표!$A$3:$M$103,8,FALSE)/$AA18</f>
        <v>0.94697814734066832</v>
      </c>
      <c r="P18" s="219">
        <f>VLOOKUP(성적입력!I$5,보정점수표!$A$3:$M$103,8,FALSE)/$AA18</f>
        <v>0.88325812506971557</v>
      </c>
      <c r="Q18" s="219">
        <f>VLOOKUP(성적입력!J$5,보정점수표!$A$3:$M$103,8,FALSE)/$AA18</f>
        <v>0.74500583075597016</v>
      </c>
      <c r="R18" s="220"/>
      <c r="S18" s="217"/>
      <c r="T18" s="221">
        <f>성적입력!D$4/계산도구!X18</f>
        <v>0.8928571428571429</v>
      </c>
      <c r="U18" s="222">
        <f>성적입력!E$4/계산도구!Y18</f>
        <v>0.94557823129251706</v>
      </c>
      <c r="V18" s="223">
        <f>성적입력!F$4/계산도구!Z18</f>
        <v>0.8098591549295775</v>
      </c>
      <c r="W18" s="224"/>
      <c r="X18" s="225">
        <f>AK$2</f>
        <v>140</v>
      </c>
      <c r="Y18" s="226">
        <f>AL$2</f>
        <v>147</v>
      </c>
      <c r="Z18" s="226">
        <f>AM$2</f>
        <v>142</v>
      </c>
      <c r="AA18" s="226">
        <f>보정점수표!H3</f>
        <v>52.5</v>
      </c>
      <c r="AB18" s="227"/>
      <c r="AC18" s="217"/>
      <c r="AD18" s="537">
        <v>0.25</v>
      </c>
      <c r="AE18" s="538">
        <v>0.3</v>
      </c>
      <c r="AF18" s="538">
        <v>0.3</v>
      </c>
      <c r="AG18" s="539">
        <v>0.15</v>
      </c>
      <c r="AH18" s="1320"/>
      <c r="AI18" s="1320"/>
      <c r="AJ18" s="217"/>
      <c r="AK18" s="225"/>
      <c r="BD18" s="225"/>
      <c r="BF18" s="924"/>
      <c r="BG18" s="225"/>
    </row>
    <row r="19" spans="1:59" s="199" customFormat="1" ht="14.25" thickBot="1">
      <c r="A19" s="1101" t="s">
        <v>73</v>
      </c>
      <c r="B19" s="204" t="s">
        <v>59</v>
      </c>
      <c r="C19" s="451">
        <v>700</v>
      </c>
      <c r="D19" s="427">
        <f t="shared" si="7"/>
        <v>131.25</v>
      </c>
      <c r="E19" s="177">
        <f t="shared" si="2"/>
        <v>121.62499999999999</v>
      </c>
      <c r="F19" s="177">
        <f t="shared" si="2"/>
        <v>140.87499999999997</v>
      </c>
      <c r="G19" s="178">
        <f>M19*L19</f>
        <v>47.859000000000009</v>
      </c>
      <c r="H19" s="81"/>
      <c r="I19" s="85">
        <f t="shared" si="3"/>
        <v>210</v>
      </c>
      <c r="J19" s="86">
        <f t="shared" si="3"/>
        <v>175</v>
      </c>
      <c r="K19" s="86">
        <f t="shared" si="3"/>
        <v>244.99999999999997</v>
      </c>
      <c r="L19" s="156">
        <f>AG19*$C19</f>
        <v>70</v>
      </c>
      <c r="M19" s="982">
        <f>(ROUND((LARGE(N19:Q19,1)+LARGE(N19:Q19,2)),4))/AA19</f>
        <v>0.68370000000000009</v>
      </c>
      <c r="N19" s="85">
        <f>VLOOKUP(성적입력!G$5,보정점수표!$A$3:$M$103,9,FALSE)</f>
        <v>68.819999999999993</v>
      </c>
      <c r="O19" s="86">
        <f>VLOOKUP(성적입력!H$5,보정점수표!$A$3:$M$103,9,FALSE)</f>
        <v>67.92</v>
      </c>
      <c r="P19" s="86">
        <f>VLOOKUP(성적입력!I$5,보정점수표!$A$3:$M$103,9,FALSE)</f>
        <v>63.32</v>
      </c>
      <c r="Q19" s="86">
        <f>VLOOKUP(성적입력!J$5,보정점수표!$A$3:$M$103,9,FALSE)</f>
        <v>53.44</v>
      </c>
      <c r="R19" s="351">
        <f>성적입력!K4*0.05</f>
        <v>2.15</v>
      </c>
      <c r="S19" s="81"/>
      <c r="T19" s="88">
        <f>성적입력!D$4/계산도구!X19</f>
        <v>0.625</v>
      </c>
      <c r="U19" s="83">
        <f>성적입력!E$4/계산도구!Y19</f>
        <v>0.69499999999999995</v>
      </c>
      <c r="V19" s="84">
        <f>성적입력!F$4/계산도구!Z19</f>
        <v>0.57499999999999996</v>
      </c>
      <c r="W19" s="89"/>
      <c r="X19" s="82">
        <v>200</v>
      </c>
      <c r="Y19" s="199">
        <v>200</v>
      </c>
      <c r="Z19" s="199">
        <v>200</v>
      </c>
      <c r="AA19" s="199">
        <v>200</v>
      </c>
      <c r="AB19" s="90"/>
      <c r="AC19" s="81"/>
      <c r="AD19" s="570">
        <v>0.3</v>
      </c>
      <c r="AE19" s="614">
        <v>0.25</v>
      </c>
      <c r="AF19" s="571">
        <v>0.35</v>
      </c>
      <c r="AG19" s="615">
        <v>0.1</v>
      </c>
      <c r="AH19" s="1333"/>
      <c r="AI19" s="1333"/>
      <c r="AJ19" s="81"/>
      <c r="AK19" s="82"/>
      <c r="AL19" s="872"/>
      <c r="AM19" s="872"/>
      <c r="AN19" s="872"/>
      <c r="AO19" s="872"/>
      <c r="AP19" s="872"/>
      <c r="AQ19" s="872"/>
      <c r="AR19" s="872"/>
      <c r="AS19" s="872"/>
      <c r="AT19" s="872"/>
      <c r="AU19" s="872"/>
      <c r="AV19" s="872"/>
      <c r="AW19" s="872"/>
      <c r="AX19" s="872"/>
      <c r="AY19" s="872"/>
      <c r="AZ19" s="872"/>
      <c r="BA19" s="872"/>
      <c r="BB19" s="872"/>
      <c r="BC19" s="1221"/>
      <c r="BD19" s="82"/>
      <c r="BF19" s="1222"/>
      <c r="BG19" s="82"/>
    </row>
    <row r="20" spans="1:59" s="100" customFormat="1">
      <c r="A20" s="1095" t="s">
        <v>74</v>
      </c>
      <c r="B20" s="205" t="s">
        <v>59</v>
      </c>
      <c r="C20" s="446">
        <v>600</v>
      </c>
      <c r="D20" s="422">
        <f t="shared" si="7"/>
        <v>112.5</v>
      </c>
      <c r="E20" s="179">
        <f t="shared" ref="E20:F22" si="8">U20*J20</f>
        <v>83.399999999999991</v>
      </c>
      <c r="F20" s="179">
        <f t="shared" si="8"/>
        <v>120.74999999999999</v>
      </c>
      <c r="G20" s="180">
        <f>L20*M20</f>
        <v>61.663500000000006</v>
      </c>
      <c r="H20" s="92"/>
      <c r="I20" s="96">
        <f t="shared" ref="I20:L36" si="9">AD20*$C20</f>
        <v>180</v>
      </c>
      <c r="J20" s="97">
        <f t="shared" si="9"/>
        <v>120</v>
      </c>
      <c r="K20" s="97">
        <f t="shared" si="9"/>
        <v>210</v>
      </c>
      <c r="L20" s="169">
        <f t="shared" si="9"/>
        <v>90</v>
      </c>
      <c r="M20" s="661">
        <f>ROUND(LARGE(N20:R20,1)+LARGE(N20:R20,2),4)/AA20</f>
        <v>0.68515000000000004</v>
      </c>
      <c r="N20" s="96">
        <f>VLOOKUP(성적입력!G$5,보정점수표!$A$3:$M$103,10,FALSE)</f>
        <v>69.010000000000005</v>
      </c>
      <c r="O20" s="97">
        <f>VLOOKUP(성적입력!H$5,보정점수표!$A$3:$M$103,10,FALSE)</f>
        <v>68.02</v>
      </c>
      <c r="P20" s="97">
        <f>VLOOKUP(성적입력!I$5,보정점수표!$A$3:$M$103,10,FALSE)</f>
        <v>63.33</v>
      </c>
      <c r="Q20" s="97">
        <f>VLOOKUP(성적입력!J$5,보정점수표!$A$3:$M$103,10,FALSE)</f>
        <v>53.45</v>
      </c>
      <c r="R20" s="169">
        <f>VLOOKUP(성적입력!K$5,보정점수표!$M$3:$V$103,8,FALSE)</f>
        <v>41.06</v>
      </c>
      <c r="S20" s="92"/>
      <c r="T20" s="98">
        <f>성적입력!D$4/계산도구!X20</f>
        <v>0.625</v>
      </c>
      <c r="U20" s="94">
        <f>성적입력!E$4/계산도구!Y20</f>
        <v>0.69499999999999995</v>
      </c>
      <c r="V20" s="95">
        <f>성적입력!F$4/계산도구!Z20</f>
        <v>0.57499999999999996</v>
      </c>
      <c r="W20" s="99"/>
      <c r="X20" s="93">
        <v>200</v>
      </c>
      <c r="Y20" s="100">
        <v>200</v>
      </c>
      <c r="Z20" s="100">
        <v>200</v>
      </c>
      <c r="AA20" s="100">
        <v>200</v>
      </c>
      <c r="AB20" s="91">
        <v>200</v>
      </c>
      <c r="AC20" s="92"/>
      <c r="AD20" s="555">
        <v>0.3</v>
      </c>
      <c r="AE20" s="556">
        <v>0.2</v>
      </c>
      <c r="AF20" s="556">
        <v>0.35</v>
      </c>
      <c r="AG20" s="557">
        <v>0.15</v>
      </c>
      <c r="AH20" s="1327"/>
      <c r="AI20" s="1327"/>
      <c r="AJ20" s="92"/>
      <c r="AK20" s="93"/>
      <c r="BD20" s="93"/>
      <c r="BF20" s="871"/>
      <c r="BG20" s="93"/>
    </row>
    <row r="21" spans="1:59" s="110" customFormat="1" ht="14.25" thickBot="1">
      <c r="A21" s="1096" t="s">
        <v>75</v>
      </c>
      <c r="B21" s="206" t="s">
        <v>294</v>
      </c>
      <c r="C21" s="447">
        <v>600</v>
      </c>
      <c r="D21" s="423">
        <f t="shared" si="7"/>
        <v>37.5</v>
      </c>
      <c r="E21" s="181">
        <f t="shared" si="8"/>
        <v>145.94999999999999</v>
      </c>
      <c r="F21" s="181">
        <f t="shared" si="8"/>
        <v>120.74999999999999</v>
      </c>
      <c r="G21" s="188">
        <f>L21*M21</f>
        <v>82.218000000000004</v>
      </c>
      <c r="H21" s="102"/>
      <c r="I21" s="106">
        <f t="shared" si="9"/>
        <v>60</v>
      </c>
      <c r="J21" s="107">
        <f t="shared" si="9"/>
        <v>210</v>
      </c>
      <c r="K21" s="107">
        <f t="shared" si="9"/>
        <v>210</v>
      </c>
      <c r="L21" s="170">
        <f t="shared" si="9"/>
        <v>120</v>
      </c>
      <c r="M21" s="661">
        <f>ROUND(LARGE(N21:R21,1)+LARGE(N21:R21,2),4)/AA21</f>
        <v>0.68515000000000004</v>
      </c>
      <c r="N21" s="106">
        <f>VLOOKUP(성적입력!G$5,보정점수표!$A$3:$M$103,10,FALSE)</f>
        <v>69.010000000000005</v>
      </c>
      <c r="O21" s="107">
        <f>VLOOKUP(성적입력!H$5,보정점수표!$A$3:$M$103,10,FALSE)</f>
        <v>68.02</v>
      </c>
      <c r="P21" s="107">
        <f>VLOOKUP(성적입력!I$5,보정점수표!$A$3:$M$103,10,FALSE)</f>
        <v>63.33</v>
      </c>
      <c r="Q21" s="107">
        <f>VLOOKUP(성적입력!J$5,보정점수표!$A$3:$M$103,10,FALSE)</f>
        <v>53.45</v>
      </c>
      <c r="R21" s="169">
        <f>VLOOKUP(성적입력!K$5,보정점수표!$M$3:$V$103,8,FALSE)</f>
        <v>41.06</v>
      </c>
      <c r="S21" s="102"/>
      <c r="T21" s="108">
        <f>성적입력!D$4/계산도구!X21</f>
        <v>0.625</v>
      </c>
      <c r="U21" s="104">
        <f>성적입력!E$4/계산도구!Y21</f>
        <v>0.69499999999999995</v>
      </c>
      <c r="V21" s="105">
        <f>성적입력!F$4/계산도구!Z21</f>
        <v>0.57499999999999996</v>
      </c>
      <c r="W21" s="109"/>
      <c r="X21" s="103">
        <v>200</v>
      </c>
      <c r="Y21" s="110">
        <v>200</v>
      </c>
      <c r="Z21" s="110">
        <v>200</v>
      </c>
      <c r="AA21" s="110">
        <v>200</v>
      </c>
      <c r="AB21" s="101">
        <v>200</v>
      </c>
      <c r="AC21" s="102"/>
      <c r="AD21" s="558">
        <v>0.1</v>
      </c>
      <c r="AE21" s="559">
        <v>0.35</v>
      </c>
      <c r="AF21" s="559">
        <v>0.35</v>
      </c>
      <c r="AG21" s="560">
        <v>0.2</v>
      </c>
      <c r="AH21" s="1328"/>
      <c r="AI21" s="1328"/>
      <c r="AJ21" s="102"/>
      <c r="AK21" s="103"/>
      <c r="BD21" s="103"/>
      <c r="BF21" s="870"/>
      <c r="BG21" s="103"/>
    </row>
    <row r="22" spans="1:59" s="19" customFormat="1">
      <c r="A22" s="1092" t="s">
        <v>76</v>
      </c>
      <c r="B22" s="207" t="s">
        <v>59</v>
      </c>
      <c r="C22" s="685">
        <v>800</v>
      </c>
      <c r="D22" s="691">
        <f t="shared" si="7"/>
        <v>184</v>
      </c>
      <c r="E22" s="692">
        <f t="shared" si="8"/>
        <v>192</v>
      </c>
      <c r="F22" s="692">
        <f t="shared" si="8"/>
        <v>146</v>
      </c>
      <c r="G22" s="693">
        <f>M22*L22</f>
        <v>195</v>
      </c>
      <c r="H22" s="694"/>
      <c r="I22" s="695">
        <f t="shared" ref="I22:L23" si="10">AD22*$C22</f>
        <v>200</v>
      </c>
      <c r="J22" s="696">
        <f t="shared" si="10"/>
        <v>200</v>
      </c>
      <c r="K22" s="696">
        <f t="shared" si="10"/>
        <v>200</v>
      </c>
      <c r="L22" s="697">
        <f t="shared" si="10"/>
        <v>200</v>
      </c>
      <c r="M22" s="687">
        <f>(LARGE(N22:R22,1)+LARGE(N22:R22,2))/2</f>
        <v>0.97499999999999998</v>
      </c>
      <c r="N22" s="37">
        <f>성적입력!G$5/계산도구!$AA22</f>
        <v>0.98</v>
      </c>
      <c r="O22" s="22">
        <f>성적입력!H$5/계산도구!$AA22</f>
        <v>0.97</v>
      </c>
      <c r="P22" s="23">
        <f>성적입력!I$5/계산도구!$AA22</f>
        <v>0.88</v>
      </c>
      <c r="Q22" s="23">
        <f>성적입력!J$5/계산도구!$AA22</f>
        <v>0.63</v>
      </c>
      <c r="R22" s="62"/>
      <c r="S22" s="46"/>
      <c r="T22" s="67">
        <f>성적입력!D$5/계산도구!X22</f>
        <v>0.92</v>
      </c>
      <c r="U22" s="21">
        <f>성적입력!E$5/계산도구!Y22</f>
        <v>0.96</v>
      </c>
      <c r="V22" s="32">
        <f>성적입력!F$5/계산도구!Z22</f>
        <v>0.73</v>
      </c>
      <c r="W22" s="72"/>
      <c r="X22" s="57">
        <v>100</v>
      </c>
      <c r="Y22" s="19">
        <v>100</v>
      </c>
      <c r="Z22" s="19">
        <v>100</v>
      </c>
      <c r="AA22" s="19">
        <v>100</v>
      </c>
      <c r="AB22" s="77"/>
      <c r="AC22" s="46"/>
      <c r="AD22" s="546">
        <v>0.25</v>
      </c>
      <c r="AE22" s="547">
        <v>0.25</v>
      </c>
      <c r="AF22" s="547">
        <v>0.25</v>
      </c>
      <c r="AG22" s="548">
        <v>0.25</v>
      </c>
      <c r="AH22" s="1334"/>
      <c r="AI22" s="1324"/>
      <c r="AJ22" s="46"/>
      <c r="AK22" s="57"/>
      <c r="BD22" s="57"/>
      <c r="BF22" s="912"/>
      <c r="BG22" s="57"/>
    </row>
    <row r="23" spans="1:59" s="20" customFormat="1" ht="14.25" thickBot="1">
      <c r="A23" s="1094" t="s">
        <v>77</v>
      </c>
      <c r="B23" s="209" t="s">
        <v>78</v>
      </c>
      <c r="C23" s="686">
        <v>800</v>
      </c>
      <c r="D23" s="698">
        <f>LARGE($T23:$W23,1)*I23</f>
        <v>259.99999999999994</v>
      </c>
      <c r="E23" s="699">
        <f>LARGE($T23:$W23,2)*J23</f>
        <v>255.99999999999994</v>
      </c>
      <c r="F23" s="699">
        <f>LARGE($T23:$W23,3)*K23</f>
        <v>245.33333333333331</v>
      </c>
      <c r="G23" s="700"/>
      <c r="H23" s="701"/>
      <c r="I23" s="702">
        <f t="shared" si="10"/>
        <v>266.66666666666663</v>
      </c>
      <c r="J23" s="703">
        <f t="shared" si="10"/>
        <v>266.66666666666663</v>
      </c>
      <c r="K23" s="703">
        <f t="shared" si="10"/>
        <v>266.66666666666663</v>
      </c>
      <c r="L23" s="704">
        <f t="shared" si="10"/>
        <v>266.66666666666663</v>
      </c>
      <c r="M23" s="688">
        <f>(LARGE(N23:R23,1)+LARGE(N23:R23,2))/2</f>
        <v>0.97499999999999998</v>
      </c>
      <c r="N23" s="39">
        <f>성적입력!G$5/계산도구!$AA23</f>
        <v>0.98</v>
      </c>
      <c r="O23" s="25">
        <f>성적입력!H$5/계산도구!$AA23</f>
        <v>0.97</v>
      </c>
      <c r="P23" s="26">
        <f>성적입력!I$5/계산도구!$AA23</f>
        <v>0.88</v>
      </c>
      <c r="Q23" s="26">
        <f>성적입력!J$5/계산도구!$AA23</f>
        <v>0.63</v>
      </c>
      <c r="R23" s="64"/>
      <c r="S23" s="48"/>
      <c r="T23" s="69">
        <f>성적입력!D$5/계산도구!X23</f>
        <v>0.92</v>
      </c>
      <c r="U23" s="24">
        <f>성적입력!E$5/계산도구!Y23</f>
        <v>0.96</v>
      </c>
      <c r="V23" s="34">
        <f>성적입력!F$5/계산도구!Z23</f>
        <v>0.73</v>
      </c>
      <c r="W23" s="74">
        <f>M23</f>
        <v>0.97499999999999998</v>
      </c>
      <c r="X23" s="59">
        <v>100</v>
      </c>
      <c r="Y23" s="20">
        <v>100</v>
      </c>
      <c r="Z23" s="20">
        <v>100</v>
      </c>
      <c r="AA23" s="20">
        <v>100</v>
      </c>
      <c r="AB23" s="79"/>
      <c r="AC23" s="48"/>
      <c r="AD23" s="552">
        <f>1/3</f>
        <v>0.33333333333333331</v>
      </c>
      <c r="AE23" s="553">
        <f>1/3</f>
        <v>0.33333333333333331</v>
      </c>
      <c r="AF23" s="553">
        <f>1/3</f>
        <v>0.33333333333333331</v>
      </c>
      <c r="AG23" s="554">
        <f>1/3</f>
        <v>0.33333333333333331</v>
      </c>
      <c r="AH23" s="1335"/>
      <c r="AI23" s="1326"/>
      <c r="AJ23" s="48"/>
      <c r="AK23" s="59"/>
      <c r="BD23" s="59"/>
      <c r="BF23" s="913"/>
      <c r="BG23" s="59"/>
    </row>
    <row r="24" spans="1:59" s="16" customFormat="1">
      <c r="A24" s="1102" t="s">
        <v>79</v>
      </c>
      <c r="B24" s="410" t="s">
        <v>224</v>
      </c>
      <c r="C24" s="612">
        <v>600</v>
      </c>
      <c r="D24" s="428">
        <f t="shared" ref="D24:F25" si="11">T24*I24</f>
        <v>165.6</v>
      </c>
      <c r="E24" s="191">
        <f t="shared" si="11"/>
        <v>115.19999999999999</v>
      </c>
      <c r="F24" s="191">
        <f t="shared" si="11"/>
        <v>131.4</v>
      </c>
      <c r="G24" s="192">
        <f>M24*L24</f>
        <v>117</v>
      </c>
      <c r="H24" s="49"/>
      <c r="I24" s="40">
        <f t="shared" si="9"/>
        <v>180</v>
      </c>
      <c r="J24" s="28">
        <f t="shared" si="9"/>
        <v>120</v>
      </c>
      <c r="K24" s="28">
        <f t="shared" si="9"/>
        <v>180</v>
      </c>
      <c r="L24" s="175">
        <f t="shared" si="9"/>
        <v>120</v>
      </c>
      <c r="M24" s="637">
        <f t="shared" ref="M24:M33" si="12">(LARGE(N24:R24,1)+LARGE(N24:R24,2))/2</f>
        <v>0.97499999999999998</v>
      </c>
      <c r="N24" s="40">
        <f>성적입력!G$5/계산도구!$AA24</f>
        <v>0.98</v>
      </c>
      <c r="O24" s="28">
        <f>성적입력!H$5/계산도구!$AA24</f>
        <v>0.97</v>
      </c>
      <c r="P24" s="397">
        <f>성적입력!I$5/계산도구!$AA24</f>
        <v>0.88</v>
      </c>
      <c r="Q24" s="397">
        <f>성적입력!J$5/계산도구!$AA24</f>
        <v>0.63</v>
      </c>
      <c r="R24" s="397">
        <f>성적입력!K$5/계산도구!$AA24</f>
        <v>0.17</v>
      </c>
      <c r="S24" s="49"/>
      <c r="T24" s="70">
        <f>성적입력!D$5/계산도구!X24</f>
        <v>0.92</v>
      </c>
      <c r="U24" s="27">
        <f>성적입력!E$5/계산도구!Y24</f>
        <v>0.96</v>
      </c>
      <c r="V24" s="35">
        <f>성적입력!F$5/계산도구!Z24</f>
        <v>0.73</v>
      </c>
      <c r="W24" s="75"/>
      <c r="X24" s="60">
        <v>100</v>
      </c>
      <c r="Y24" s="16">
        <v>100</v>
      </c>
      <c r="Z24" s="16">
        <v>100</v>
      </c>
      <c r="AA24" s="16">
        <v>100</v>
      </c>
      <c r="AB24" s="51">
        <v>100</v>
      </c>
      <c r="AC24" s="49"/>
      <c r="AD24" s="573">
        <v>0.3</v>
      </c>
      <c r="AE24" s="574">
        <v>0.2</v>
      </c>
      <c r="AF24" s="574">
        <v>0.3</v>
      </c>
      <c r="AG24" s="575">
        <v>0.2</v>
      </c>
      <c r="AH24" s="1336"/>
      <c r="AI24" s="1336"/>
      <c r="AJ24" s="49"/>
      <c r="AK24" s="60"/>
      <c r="BD24" s="60"/>
      <c r="BF24" s="929"/>
      <c r="BG24" s="60"/>
    </row>
    <row r="25" spans="1:59" s="10" customFormat="1" ht="14.25" thickBot="1">
      <c r="A25" s="1103" t="s">
        <v>80</v>
      </c>
      <c r="B25" s="213" t="s">
        <v>225</v>
      </c>
      <c r="C25" s="613">
        <v>600</v>
      </c>
      <c r="D25" s="420">
        <f t="shared" si="11"/>
        <v>138</v>
      </c>
      <c r="E25" s="184">
        <f t="shared" si="11"/>
        <v>144</v>
      </c>
      <c r="F25" s="184">
        <f t="shared" si="11"/>
        <v>131.4</v>
      </c>
      <c r="G25" s="185">
        <f>M25*L25</f>
        <v>117</v>
      </c>
      <c r="H25" s="47"/>
      <c r="I25" s="38">
        <f t="shared" si="9"/>
        <v>150</v>
      </c>
      <c r="J25" s="12">
        <f t="shared" si="9"/>
        <v>150</v>
      </c>
      <c r="K25" s="12">
        <f t="shared" si="9"/>
        <v>180</v>
      </c>
      <c r="L25" s="172">
        <f t="shared" si="9"/>
        <v>120</v>
      </c>
      <c r="M25" s="638">
        <f t="shared" si="12"/>
        <v>0.97499999999999998</v>
      </c>
      <c r="N25" s="38">
        <f>성적입력!G$5/계산도구!$AA25</f>
        <v>0.98</v>
      </c>
      <c r="O25" s="12">
        <f>성적입력!H$5/계산도구!$AA25</f>
        <v>0.97</v>
      </c>
      <c r="P25" s="13">
        <f>성적입력!I$5/계산도구!$AA25</f>
        <v>0.88</v>
      </c>
      <c r="Q25" s="13">
        <f>성적입력!J$5/계산도구!$AA25</f>
        <v>0.63</v>
      </c>
      <c r="R25" s="397"/>
      <c r="S25" s="47"/>
      <c r="T25" s="68">
        <f>성적입력!D$5/계산도구!X25</f>
        <v>0.92</v>
      </c>
      <c r="U25" s="11">
        <f>성적입력!E$5/계산도구!Y25</f>
        <v>0.96</v>
      </c>
      <c r="V25" s="33">
        <f>성적입력!F$5/계산도구!Z25</f>
        <v>0.73</v>
      </c>
      <c r="W25" s="73"/>
      <c r="X25" s="58">
        <v>100</v>
      </c>
      <c r="Y25" s="10">
        <v>100</v>
      </c>
      <c r="Z25" s="10">
        <v>100</v>
      </c>
      <c r="AA25" s="10">
        <v>100</v>
      </c>
      <c r="AB25" s="78"/>
      <c r="AC25" s="47"/>
      <c r="AD25" s="609">
        <v>0.25</v>
      </c>
      <c r="AE25" s="610">
        <v>0.25</v>
      </c>
      <c r="AF25" s="610">
        <v>0.3</v>
      </c>
      <c r="AG25" s="611">
        <v>0.2</v>
      </c>
      <c r="AH25" s="1325"/>
      <c r="AI25" s="1325"/>
      <c r="AJ25" s="47"/>
      <c r="AK25" s="58"/>
      <c r="BD25" s="58"/>
      <c r="BF25" s="927"/>
      <c r="BG25" s="58"/>
    </row>
    <row r="26" spans="1:59" s="891" customFormat="1">
      <c r="A26" s="1104" t="s">
        <v>318</v>
      </c>
      <c r="B26" s="874" t="s">
        <v>59</v>
      </c>
      <c r="C26" s="875">
        <v>700</v>
      </c>
      <c r="D26" s="876">
        <f t="shared" ref="D26:F37" si="13">T26*I26</f>
        <v>193.20000000000002</v>
      </c>
      <c r="E26" s="877">
        <f t="shared" si="13"/>
        <v>67.2</v>
      </c>
      <c r="F26" s="877">
        <f t="shared" si="13"/>
        <v>178.84999999999997</v>
      </c>
      <c r="G26" s="878">
        <f t="shared" ref="G26:G37" si="14">M26*L26</f>
        <v>170.625</v>
      </c>
      <c r="H26" s="879"/>
      <c r="I26" s="880">
        <f t="shared" si="9"/>
        <v>210</v>
      </c>
      <c r="J26" s="881">
        <f t="shared" si="9"/>
        <v>70</v>
      </c>
      <c r="K26" s="881">
        <f t="shared" si="9"/>
        <v>244.99999999999997</v>
      </c>
      <c r="L26" s="882">
        <f t="shared" si="9"/>
        <v>175</v>
      </c>
      <c r="M26" s="883">
        <f t="shared" si="12"/>
        <v>0.97499999999999998</v>
      </c>
      <c r="N26" s="880">
        <f>성적입력!G$5/계산도구!$AA26</f>
        <v>0.98</v>
      </c>
      <c r="O26" s="881">
        <f>성적입력!H$5/계산도구!$AA26</f>
        <v>0.97</v>
      </c>
      <c r="P26" s="884">
        <f>성적입력!I$5/계산도구!$AA26</f>
        <v>0.88</v>
      </c>
      <c r="Q26" s="884">
        <f>성적입력!J$5/계산도구!$AA26</f>
        <v>0.63</v>
      </c>
      <c r="R26" s="885"/>
      <c r="S26" s="879"/>
      <c r="T26" s="886">
        <f>성적입력!D$5/계산도구!X26</f>
        <v>0.92</v>
      </c>
      <c r="U26" s="887">
        <f>성적입력!E$5/계산도구!Y26</f>
        <v>0.96</v>
      </c>
      <c r="V26" s="888">
        <f>성적입력!F$5/계산도구!Z26</f>
        <v>0.73</v>
      </c>
      <c r="W26" s="889"/>
      <c r="X26" s="890">
        <v>100</v>
      </c>
      <c r="Y26" s="891">
        <v>100</v>
      </c>
      <c r="Z26" s="891">
        <v>100</v>
      </c>
      <c r="AA26" s="891">
        <v>100</v>
      </c>
      <c r="AB26" s="892"/>
      <c r="AC26" s="879"/>
      <c r="AD26" s="893">
        <v>0.3</v>
      </c>
      <c r="AE26" s="894">
        <v>0.1</v>
      </c>
      <c r="AF26" s="894">
        <v>0.35</v>
      </c>
      <c r="AG26" s="895">
        <v>0.25</v>
      </c>
      <c r="AH26" s="1337"/>
      <c r="AI26" s="1337"/>
      <c r="AJ26" s="879"/>
      <c r="AK26" s="890"/>
      <c r="BD26" s="890"/>
      <c r="BF26" s="930"/>
      <c r="BG26" s="890"/>
    </row>
    <row r="27" spans="1:59" s="20" customFormat="1" ht="14.25" thickBot="1">
      <c r="A27" s="1094" t="s">
        <v>319</v>
      </c>
      <c r="B27" s="209" t="s">
        <v>262</v>
      </c>
      <c r="C27" s="686">
        <v>700</v>
      </c>
      <c r="D27" s="421">
        <f>T27*I27</f>
        <v>64.400000000000006</v>
      </c>
      <c r="E27" s="186">
        <f>U27*J27</f>
        <v>235.19999999999996</v>
      </c>
      <c r="F27" s="186">
        <f>V27*K27</f>
        <v>153.29999999999998</v>
      </c>
      <c r="G27" s="187">
        <f>M27*L27</f>
        <v>170.625</v>
      </c>
      <c r="H27" s="48"/>
      <c r="I27" s="39">
        <f>AD27*$C27</f>
        <v>70</v>
      </c>
      <c r="J27" s="25">
        <f>AE27*$C27</f>
        <v>244.99999999999997</v>
      </c>
      <c r="K27" s="25">
        <f>AF27*$C27</f>
        <v>210</v>
      </c>
      <c r="L27" s="173">
        <f>AG27*$C27</f>
        <v>175</v>
      </c>
      <c r="M27" s="474">
        <f>(LARGE(N27:R27,1)+LARGE(N27:R27,2))/2</f>
        <v>0.97499999999999998</v>
      </c>
      <c r="N27" s="39">
        <f>성적입력!G$5/계산도구!$AA27</f>
        <v>0.98</v>
      </c>
      <c r="O27" s="25">
        <f>성적입력!H$5/계산도구!$AA27</f>
        <v>0.97</v>
      </c>
      <c r="P27" s="26">
        <f>성적입력!I$5/계산도구!$AA27</f>
        <v>0.88</v>
      </c>
      <c r="Q27" s="26">
        <f>성적입력!J$5/계산도구!$AA27</f>
        <v>0.63</v>
      </c>
      <c r="R27" s="64"/>
      <c r="S27" s="48"/>
      <c r="T27" s="69">
        <f>성적입력!D$5/계산도구!X27</f>
        <v>0.92</v>
      </c>
      <c r="U27" s="24">
        <f>성적입력!E$5/계산도구!Y27</f>
        <v>0.96</v>
      </c>
      <c r="V27" s="34">
        <f>성적입력!F$5/계산도구!Z27</f>
        <v>0.73</v>
      </c>
      <c r="W27" s="74"/>
      <c r="X27" s="59">
        <v>100</v>
      </c>
      <c r="Y27" s="20">
        <v>100</v>
      </c>
      <c r="Z27" s="20">
        <v>100</v>
      </c>
      <c r="AA27" s="20">
        <v>100</v>
      </c>
      <c r="AB27" s="79"/>
      <c r="AC27" s="48"/>
      <c r="AD27" s="896">
        <v>0.1</v>
      </c>
      <c r="AE27" s="897">
        <v>0.35</v>
      </c>
      <c r="AF27" s="897">
        <v>0.3</v>
      </c>
      <c r="AG27" s="898">
        <v>0.25</v>
      </c>
      <c r="AH27" s="1326"/>
      <c r="AI27" s="1326"/>
      <c r="AJ27" s="48"/>
      <c r="AK27" s="59"/>
      <c r="BD27" s="59"/>
      <c r="BF27" s="913"/>
      <c r="BG27" s="59"/>
    </row>
    <row r="28" spans="1:59" s="365" customFormat="1">
      <c r="A28" s="1105" t="s">
        <v>320</v>
      </c>
      <c r="B28" s="354" t="s">
        <v>59</v>
      </c>
      <c r="C28" s="639">
        <v>700</v>
      </c>
      <c r="D28" s="431">
        <f t="shared" si="13"/>
        <v>193.20000000000002</v>
      </c>
      <c r="E28" s="355">
        <f t="shared" si="13"/>
        <v>134.4</v>
      </c>
      <c r="F28" s="355">
        <f t="shared" si="13"/>
        <v>153.29999999999998</v>
      </c>
      <c r="G28" s="356">
        <f t="shared" si="14"/>
        <v>136.5</v>
      </c>
      <c r="H28" s="357"/>
      <c r="I28" s="358">
        <f t="shared" si="9"/>
        <v>210</v>
      </c>
      <c r="J28" s="359">
        <f t="shared" si="9"/>
        <v>140</v>
      </c>
      <c r="K28" s="359">
        <f t="shared" si="9"/>
        <v>210</v>
      </c>
      <c r="L28" s="366">
        <f t="shared" si="9"/>
        <v>140</v>
      </c>
      <c r="M28" s="480">
        <f t="shared" si="12"/>
        <v>0.97499999999999998</v>
      </c>
      <c r="N28" s="358">
        <f>성적입력!G$5/계산도구!$AA28</f>
        <v>0.98</v>
      </c>
      <c r="O28" s="359">
        <f>성적입력!H$5/계산도구!$AA28</f>
        <v>0.97</v>
      </c>
      <c r="P28" s="399">
        <f>성적입력!I$5/계산도구!$AA28</f>
        <v>0.88</v>
      </c>
      <c r="Q28" s="399">
        <f>성적입력!J$5/계산도구!$AA28</f>
        <v>0.63</v>
      </c>
      <c r="R28" s="488"/>
      <c r="S28" s="357"/>
      <c r="T28" s="360">
        <f>성적입력!D$5/계산도구!X28</f>
        <v>0.92</v>
      </c>
      <c r="U28" s="361">
        <f>성적입력!E$5/계산도구!Y28</f>
        <v>0.96</v>
      </c>
      <c r="V28" s="362">
        <f>성적입력!F$5/계산도구!Z28</f>
        <v>0.73</v>
      </c>
      <c r="W28" s="363"/>
      <c r="X28" s="364">
        <v>100</v>
      </c>
      <c r="Y28" s="365">
        <v>100</v>
      </c>
      <c r="Z28" s="365">
        <v>100</v>
      </c>
      <c r="AA28" s="365">
        <v>100</v>
      </c>
      <c r="AB28" s="353"/>
      <c r="AC28" s="357"/>
      <c r="AD28" s="582">
        <v>0.3</v>
      </c>
      <c r="AE28" s="583">
        <v>0.2</v>
      </c>
      <c r="AF28" s="583">
        <v>0.3</v>
      </c>
      <c r="AG28" s="584">
        <v>0.2</v>
      </c>
      <c r="AH28" s="1338"/>
      <c r="AI28" s="1338"/>
      <c r="AJ28" s="357"/>
      <c r="AK28" s="364"/>
      <c r="BD28" s="364"/>
      <c r="BF28" s="931"/>
      <c r="BG28" s="364"/>
    </row>
    <row r="29" spans="1:59" s="656" customFormat="1">
      <c r="A29" s="1103" t="s">
        <v>321</v>
      </c>
      <c r="B29" s="640" t="s">
        <v>239</v>
      </c>
      <c r="C29" s="641">
        <v>700</v>
      </c>
      <c r="D29" s="642">
        <f t="shared" ref="D29:F30" si="15">T29*I29</f>
        <v>161</v>
      </c>
      <c r="E29" s="643">
        <f t="shared" si="15"/>
        <v>168</v>
      </c>
      <c r="F29" s="643">
        <f t="shared" si="15"/>
        <v>127.75</v>
      </c>
      <c r="G29" s="644">
        <f>M29*L29</f>
        <v>170.625</v>
      </c>
      <c r="H29" s="640"/>
      <c r="I29" s="645">
        <f t="shared" ref="I29:L30" si="16">AD29*$C29</f>
        <v>175</v>
      </c>
      <c r="J29" s="646">
        <f t="shared" si="16"/>
        <v>175</v>
      </c>
      <c r="K29" s="646">
        <f t="shared" si="16"/>
        <v>175</v>
      </c>
      <c r="L29" s="647">
        <f t="shared" si="16"/>
        <v>175</v>
      </c>
      <c r="M29" s="648">
        <f>(LARGE(N29:R29,1)+LARGE(N29:R29,2))/2</f>
        <v>0.97499999999999998</v>
      </c>
      <c r="N29" s="645">
        <f>성적입력!G$5/계산도구!$AA29</f>
        <v>0.98</v>
      </c>
      <c r="O29" s="646">
        <f>성적입력!H$5/계산도구!$AA29</f>
        <v>0.97</v>
      </c>
      <c r="P29" s="649">
        <f>성적입력!I$5/계산도구!$AA29</f>
        <v>0.88</v>
      </c>
      <c r="Q29" s="649">
        <f>성적입력!J$5/계산도구!$AA29</f>
        <v>0.63</v>
      </c>
      <c r="R29" s="650"/>
      <c r="S29" s="640"/>
      <c r="T29" s="651">
        <f>성적입력!D$5/계산도구!X29</f>
        <v>0.92</v>
      </c>
      <c r="U29" s="652">
        <f>성적입력!E$5/계산도구!Y29</f>
        <v>0.96</v>
      </c>
      <c r="V29" s="653">
        <f>성적입력!F$5/계산도구!Z29</f>
        <v>0.73</v>
      </c>
      <c r="W29" s="654"/>
      <c r="X29" s="655">
        <v>100</v>
      </c>
      <c r="Y29" s="656">
        <v>100</v>
      </c>
      <c r="Z29" s="656">
        <v>100</v>
      </c>
      <c r="AA29" s="656">
        <v>100</v>
      </c>
      <c r="AB29" s="607"/>
      <c r="AC29" s="640"/>
      <c r="AD29" s="657">
        <v>0.25</v>
      </c>
      <c r="AE29" s="658">
        <v>0.25</v>
      </c>
      <c r="AF29" s="658">
        <v>0.25</v>
      </c>
      <c r="AG29" s="659">
        <v>0.25</v>
      </c>
      <c r="AH29" s="660"/>
      <c r="AI29" s="660"/>
      <c r="AJ29" s="640"/>
      <c r="AK29" s="655"/>
      <c r="BD29" s="655"/>
      <c r="BF29" s="932"/>
      <c r="BG29" s="655"/>
    </row>
    <row r="30" spans="1:59" s="365" customFormat="1" ht="14.25" thickBot="1">
      <c r="A30" s="1105" t="s">
        <v>322</v>
      </c>
      <c r="B30" s="354" t="s">
        <v>238</v>
      </c>
      <c r="C30" s="639">
        <v>700</v>
      </c>
      <c r="D30" s="431">
        <f t="shared" si="15"/>
        <v>193.20000000000002</v>
      </c>
      <c r="E30" s="355">
        <f t="shared" si="15"/>
        <v>134.4</v>
      </c>
      <c r="F30" s="355">
        <f t="shared" si="15"/>
        <v>153.29999999999998</v>
      </c>
      <c r="G30" s="356">
        <f>M30*L30</f>
        <v>136.5</v>
      </c>
      <c r="H30" s="357"/>
      <c r="I30" s="358">
        <f t="shared" si="16"/>
        <v>210</v>
      </c>
      <c r="J30" s="359">
        <f t="shared" si="16"/>
        <v>140</v>
      </c>
      <c r="K30" s="359">
        <f t="shared" si="16"/>
        <v>210</v>
      </c>
      <c r="L30" s="366">
        <f t="shared" si="16"/>
        <v>140</v>
      </c>
      <c r="M30" s="480">
        <f>(LARGE(N30:R30,1)+LARGE(N30:R30,2))/2</f>
        <v>0.97499999999999998</v>
      </c>
      <c r="N30" s="358">
        <f>성적입력!G$5/계산도구!$AA30</f>
        <v>0.98</v>
      </c>
      <c r="O30" s="359">
        <f>성적입력!H$5/계산도구!$AA30</f>
        <v>0.97</v>
      </c>
      <c r="P30" s="399">
        <f>성적입력!I$5/계산도구!$AA30</f>
        <v>0.88</v>
      </c>
      <c r="Q30" s="399">
        <f>성적입력!J$5/계산도구!$AA30</f>
        <v>0.63</v>
      </c>
      <c r="R30" s="488"/>
      <c r="S30" s="357"/>
      <c r="T30" s="360">
        <f>성적입력!D$5/계산도구!X30</f>
        <v>0.92</v>
      </c>
      <c r="U30" s="361">
        <f>성적입력!E$5/계산도구!Y30</f>
        <v>0.96</v>
      </c>
      <c r="V30" s="362">
        <f>성적입력!F$5/계산도구!Z30</f>
        <v>0.73</v>
      </c>
      <c r="W30" s="363"/>
      <c r="X30" s="364">
        <v>100</v>
      </c>
      <c r="Y30" s="365">
        <v>100</v>
      </c>
      <c r="Z30" s="365">
        <v>100</v>
      </c>
      <c r="AA30" s="365">
        <v>100</v>
      </c>
      <c r="AB30" s="353"/>
      <c r="AC30" s="357"/>
      <c r="AD30" s="582">
        <v>0.3</v>
      </c>
      <c r="AE30" s="583">
        <v>0.2</v>
      </c>
      <c r="AF30" s="583">
        <v>0.3</v>
      </c>
      <c r="AG30" s="584">
        <v>0.2</v>
      </c>
      <c r="AH30" s="1338"/>
      <c r="AI30" s="1338"/>
      <c r="AJ30" s="357"/>
      <c r="AK30" s="364"/>
      <c r="BD30" s="364"/>
      <c r="BF30" s="931"/>
      <c r="BG30" s="364"/>
    </row>
    <row r="31" spans="1:59" s="19" customFormat="1">
      <c r="A31" s="1092" t="s">
        <v>81</v>
      </c>
      <c r="B31" s="207" t="s">
        <v>59</v>
      </c>
      <c r="C31" s="443">
        <v>700</v>
      </c>
      <c r="D31" s="419">
        <f t="shared" si="13"/>
        <v>225.39999999999998</v>
      </c>
      <c r="E31" s="182">
        <f t="shared" si="13"/>
        <v>100.8</v>
      </c>
      <c r="F31" s="182">
        <f t="shared" si="13"/>
        <v>178.84999999999997</v>
      </c>
      <c r="G31" s="183">
        <f t="shared" si="14"/>
        <v>102.375</v>
      </c>
      <c r="H31" s="46"/>
      <c r="I31" s="37">
        <f t="shared" si="9"/>
        <v>244.99999999999997</v>
      </c>
      <c r="J31" s="22">
        <f t="shared" si="9"/>
        <v>105</v>
      </c>
      <c r="K31" s="22">
        <f t="shared" si="9"/>
        <v>244.99999999999997</v>
      </c>
      <c r="L31" s="171">
        <f t="shared" si="9"/>
        <v>105</v>
      </c>
      <c r="M31" s="472">
        <f>(LARGE(N31:Q31,1)+LARGE(N31:Q31,2))/2</f>
        <v>0.97499999999999998</v>
      </c>
      <c r="N31" s="37">
        <f>성적입력!G$5/계산도구!$AA31</f>
        <v>0.98</v>
      </c>
      <c r="O31" s="22">
        <f>성적입력!H$5/계산도구!$AA31</f>
        <v>0.97</v>
      </c>
      <c r="P31" s="23">
        <f>성적입력!I$5/계산도구!$AA31</f>
        <v>0.88</v>
      </c>
      <c r="Q31" s="23">
        <f>성적입력!J$5/계산도구!$AA31</f>
        <v>0.63</v>
      </c>
      <c r="R31" s="708">
        <f>성적입력!K$4*0.08</f>
        <v>3.44</v>
      </c>
      <c r="S31" s="46"/>
      <c r="T31" s="67">
        <f>성적입력!D$5/계산도구!X31</f>
        <v>0.92</v>
      </c>
      <c r="U31" s="21">
        <f>성적입력!E$5/계산도구!Y31</f>
        <v>0.96</v>
      </c>
      <c r="V31" s="32">
        <f>성적입력!F$5/계산도구!Z31</f>
        <v>0.73</v>
      </c>
      <c r="W31" s="72"/>
      <c r="X31" s="57">
        <v>100</v>
      </c>
      <c r="Y31" s="19">
        <v>100</v>
      </c>
      <c r="Z31" s="19">
        <v>100</v>
      </c>
      <c r="AA31" s="19">
        <v>100</v>
      </c>
      <c r="AB31" s="77"/>
      <c r="AC31" s="46"/>
      <c r="AD31" s="1016">
        <v>0.35</v>
      </c>
      <c r="AE31" s="1017">
        <v>0.15</v>
      </c>
      <c r="AF31" s="1017">
        <v>0.35</v>
      </c>
      <c r="AG31" s="1018">
        <v>0.15</v>
      </c>
      <c r="AH31" s="1324"/>
      <c r="AI31" s="1324"/>
      <c r="AJ31" s="46"/>
      <c r="AK31" s="57"/>
      <c r="BD31" s="57"/>
      <c r="BF31" s="912"/>
      <c r="BG31" s="57"/>
    </row>
    <row r="32" spans="1:59" s="10" customFormat="1">
      <c r="A32" s="1093" t="s">
        <v>82</v>
      </c>
      <c r="B32" s="208" t="s">
        <v>63</v>
      </c>
      <c r="C32" s="444">
        <v>700</v>
      </c>
      <c r="D32" s="420">
        <f t="shared" si="13"/>
        <v>96.600000000000009</v>
      </c>
      <c r="E32" s="184">
        <f t="shared" si="13"/>
        <v>235.19999999999996</v>
      </c>
      <c r="F32" s="184">
        <f t="shared" si="13"/>
        <v>178.84999999999997</v>
      </c>
      <c r="G32" s="185">
        <f t="shared" si="14"/>
        <v>102.375</v>
      </c>
      <c r="H32" s="47"/>
      <c r="I32" s="38">
        <f t="shared" si="9"/>
        <v>105</v>
      </c>
      <c r="J32" s="12">
        <f t="shared" si="9"/>
        <v>244.99999999999997</v>
      </c>
      <c r="K32" s="12">
        <f t="shared" si="9"/>
        <v>244.99999999999997</v>
      </c>
      <c r="L32" s="172">
        <f t="shared" si="9"/>
        <v>105</v>
      </c>
      <c r="M32" s="473">
        <f t="shared" si="12"/>
        <v>0.97499999999999998</v>
      </c>
      <c r="N32" s="38">
        <f>성적입력!G$5/계산도구!$AA32</f>
        <v>0.98</v>
      </c>
      <c r="O32" s="12">
        <f>성적입력!H$5/계산도구!$AA32</f>
        <v>0.97</v>
      </c>
      <c r="P32" s="13">
        <f>성적입력!I$5/계산도구!$AA32</f>
        <v>0.88</v>
      </c>
      <c r="Q32" s="13">
        <f>성적입력!J$5/계산도구!$AA32</f>
        <v>0.63</v>
      </c>
      <c r="R32" s="63"/>
      <c r="S32" s="47"/>
      <c r="T32" s="68">
        <f>성적입력!D$5/계산도구!X32</f>
        <v>0.92</v>
      </c>
      <c r="U32" s="11">
        <f>성적입력!E$5/계산도구!Y32</f>
        <v>0.96</v>
      </c>
      <c r="V32" s="33">
        <f>성적입력!F$5/계산도구!Z32</f>
        <v>0.73</v>
      </c>
      <c r="W32" s="73"/>
      <c r="X32" s="58">
        <v>100</v>
      </c>
      <c r="Y32" s="10">
        <v>100</v>
      </c>
      <c r="Z32" s="10">
        <v>100</v>
      </c>
      <c r="AA32" s="10">
        <v>100</v>
      </c>
      <c r="AB32" s="78"/>
      <c r="AC32" s="47"/>
      <c r="AD32" s="609">
        <v>0.15</v>
      </c>
      <c r="AE32" s="610">
        <v>0.35</v>
      </c>
      <c r="AF32" s="610">
        <v>0.35</v>
      </c>
      <c r="AG32" s="611">
        <v>0.15</v>
      </c>
      <c r="AH32" s="1325"/>
      <c r="AI32" s="1325"/>
      <c r="AJ32" s="47"/>
      <c r="AK32" s="58"/>
      <c r="BD32" s="58"/>
      <c r="BF32" s="927"/>
      <c r="BG32" s="58"/>
    </row>
    <row r="33" spans="1:59" s="20" customFormat="1" ht="14.25" thickBot="1">
      <c r="A33" s="1094" t="s">
        <v>83</v>
      </c>
      <c r="B33" s="1019" t="s">
        <v>291</v>
      </c>
      <c r="C33" s="445">
        <v>700</v>
      </c>
      <c r="D33" s="421">
        <f t="shared" si="13"/>
        <v>96.600000000000009</v>
      </c>
      <c r="E33" s="186">
        <f t="shared" si="13"/>
        <v>235.19999999999996</v>
      </c>
      <c r="F33" s="186">
        <f t="shared" si="13"/>
        <v>178.84999999999997</v>
      </c>
      <c r="G33" s="187">
        <f t="shared" si="14"/>
        <v>102.375</v>
      </c>
      <c r="H33" s="48"/>
      <c r="I33" s="39">
        <f t="shared" si="9"/>
        <v>105</v>
      </c>
      <c r="J33" s="25">
        <f t="shared" si="9"/>
        <v>244.99999999999997</v>
      </c>
      <c r="K33" s="25">
        <f t="shared" si="9"/>
        <v>244.99999999999997</v>
      </c>
      <c r="L33" s="173">
        <f t="shared" si="9"/>
        <v>105</v>
      </c>
      <c r="M33" s="474">
        <f t="shared" si="12"/>
        <v>0.97499999999999998</v>
      </c>
      <c r="N33" s="39">
        <f>성적입력!G$5/계산도구!$AA33</f>
        <v>0.98</v>
      </c>
      <c r="O33" s="25">
        <f>성적입력!H$5/계산도구!$AA33</f>
        <v>0.97</v>
      </c>
      <c r="P33" s="26">
        <f>성적입력!I$5/계산도구!$AA33</f>
        <v>0.88</v>
      </c>
      <c r="Q33" s="26">
        <f>성적입력!J$5/계산도구!$AA33</f>
        <v>0.63</v>
      </c>
      <c r="R33" s="64"/>
      <c r="S33" s="48"/>
      <c r="T33" s="69">
        <f>성적입력!D$5/계산도구!X33</f>
        <v>0.92</v>
      </c>
      <c r="U33" s="24">
        <f>성적입력!E$5/계산도구!Y33</f>
        <v>0.96</v>
      </c>
      <c r="V33" s="34">
        <f>성적입력!F$5/계산도구!Z33</f>
        <v>0.73</v>
      </c>
      <c r="W33" s="74"/>
      <c r="X33" s="59">
        <v>100</v>
      </c>
      <c r="Y33" s="20">
        <v>100</v>
      </c>
      <c r="Z33" s="20">
        <v>100</v>
      </c>
      <c r="AA33" s="20">
        <v>100</v>
      </c>
      <c r="AB33" s="79"/>
      <c r="AC33" s="48"/>
      <c r="AD33" s="896">
        <v>0.15</v>
      </c>
      <c r="AE33" s="897">
        <v>0.35</v>
      </c>
      <c r="AF33" s="897">
        <v>0.35</v>
      </c>
      <c r="AG33" s="898">
        <v>0.15</v>
      </c>
      <c r="AH33" s="1326"/>
      <c r="AI33" s="1326"/>
      <c r="AJ33" s="48"/>
      <c r="AK33" s="59"/>
      <c r="BD33" s="59"/>
      <c r="BF33" s="913"/>
      <c r="BG33" s="59"/>
    </row>
    <row r="34" spans="1:59" s="748" customFormat="1">
      <c r="A34" s="1106" t="s">
        <v>84</v>
      </c>
      <c r="B34" s="732" t="s">
        <v>65</v>
      </c>
      <c r="C34" s="733">
        <v>700</v>
      </c>
      <c r="D34" s="734">
        <f>T34*I34</f>
        <v>187.5</v>
      </c>
      <c r="E34" s="735">
        <f t="shared" si="13"/>
        <v>99.285714285714292</v>
      </c>
      <c r="F34" s="735">
        <f t="shared" si="13"/>
        <v>198.41549295774647</v>
      </c>
      <c r="G34" s="736">
        <f>M34*L34+M34*10+R34*0.05</f>
        <v>148.4</v>
      </c>
      <c r="H34" s="737"/>
      <c r="I34" s="738">
        <f t="shared" si="9"/>
        <v>210</v>
      </c>
      <c r="J34" s="739">
        <f t="shared" si="9"/>
        <v>105</v>
      </c>
      <c r="K34" s="739">
        <f t="shared" si="9"/>
        <v>244.99999999999997</v>
      </c>
      <c r="L34" s="740">
        <f t="shared" si="9"/>
        <v>140</v>
      </c>
      <c r="M34" s="741">
        <f>(LARGE(N34:Q34,1)+LARGE(N34:Q34,2))/2</f>
        <v>0.97499999999999998</v>
      </c>
      <c r="N34" s="738">
        <f>성적입력!G$5/계산도구!$AA34</f>
        <v>0.98</v>
      </c>
      <c r="O34" s="739">
        <f>성적입력!H$5/계산도구!$AA34</f>
        <v>0.97</v>
      </c>
      <c r="P34" s="742">
        <f>성적입력!I$5/계산도구!$AA34</f>
        <v>0.88</v>
      </c>
      <c r="Q34" s="742">
        <f>성적입력!J$5/계산도구!$AA34</f>
        <v>0.63</v>
      </c>
      <c r="R34" s="742">
        <f>성적입력!K$4</f>
        <v>43</v>
      </c>
      <c r="S34" s="737"/>
      <c r="T34" s="743">
        <f>성적입력!D$4/계산도구!X34</f>
        <v>0.8928571428571429</v>
      </c>
      <c r="U34" s="744">
        <f>성적입력!E$4/계산도구!Y34</f>
        <v>0.94557823129251706</v>
      </c>
      <c r="V34" s="745">
        <f>성적입력!F$4/계산도구!Z34</f>
        <v>0.8098591549295775</v>
      </c>
      <c r="W34" s="746"/>
      <c r="X34" s="747">
        <f t="shared" ref="X34:Z36" si="17">AK$2</f>
        <v>140</v>
      </c>
      <c r="Y34" s="748">
        <f t="shared" si="17"/>
        <v>147</v>
      </c>
      <c r="Z34" s="748">
        <f t="shared" si="17"/>
        <v>142</v>
      </c>
      <c r="AA34" s="748">
        <v>100</v>
      </c>
      <c r="AB34" s="749"/>
      <c r="AC34" s="737"/>
      <c r="AD34" s="750">
        <v>0.3</v>
      </c>
      <c r="AE34" s="751">
        <v>0.15</v>
      </c>
      <c r="AF34" s="751">
        <v>0.35</v>
      </c>
      <c r="AG34" s="752">
        <v>0.2</v>
      </c>
      <c r="AH34" s="1339" t="s">
        <v>729</v>
      </c>
      <c r="AI34" s="1339" t="s">
        <v>730</v>
      </c>
      <c r="AJ34" s="737" t="s">
        <v>443</v>
      </c>
      <c r="AK34" s="747"/>
      <c r="BD34" s="747"/>
      <c r="BF34" s="868"/>
      <c r="BG34" s="747"/>
    </row>
    <row r="35" spans="1:59" s="748" customFormat="1">
      <c r="A35" s="1106" t="s">
        <v>439</v>
      </c>
      <c r="B35" s="732" t="s">
        <v>444</v>
      </c>
      <c r="C35" s="733">
        <v>700</v>
      </c>
      <c r="D35" s="734">
        <f>T35*I35</f>
        <v>187.5</v>
      </c>
      <c r="E35" s="735">
        <f>U35*J35</f>
        <v>99.285714285714292</v>
      </c>
      <c r="F35" s="735">
        <f>V35*K35</f>
        <v>198.41549295774647</v>
      </c>
      <c r="G35" s="736">
        <f>M35*L35+M35*10</f>
        <v>146.25</v>
      </c>
      <c r="H35" s="737"/>
      <c r="I35" s="738">
        <f>AD35*$C35</f>
        <v>210</v>
      </c>
      <c r="J35" s="739">
        <f>AE35*$C35</f>
        <v>105</v>
      </c>
      <c r="K35" s="739">
        <f>AF35*$C35</f>
        <v>244.99999999999997</v>
      </c>
      <c r="L35" s="740">
        <f>AG35*$C35</f>
        <v>140</v>
      </c>
      <c r="M35" s="741">
        <f>(LARGE(N35:Q35,1)+LARGE(N35:Q35,2))/2</f>
        <v>0.97499999999999998</v>
      </c>
      <c r="N35" s="738">
        <f>성적입력!G$5/계산도구!$AA35</f>
        <v>0.98</v>
      </c>
      <c r="O35" s="739">
        <f>성적입력!H$5/계산도구!$AA35</f>
        <v>0.97</v>
      </c>
      <c r="P35" s="742">
        <f>성적입력!I$5/계산도구!$AA35</f>
        <v>0.88</v>
      </c>
      <c r="Q35" s="742">
        <f>성적입력!J$5/계산도구!$AA35</f>
        <v>0.63</v>
      </c>
      <c r="R35" s="742"/>
      <c r="S35" s="737"/>
      <c r="T35" s="743">
        <f>성적입력!D$4/계산도구!X35</f>
        <v>0.8928571428571429</v>
      </c>
      <c r="U35" s="744">
        <f>성적입력!E$4/계산도구!Y35</f>
        <v>0.94557823129251706</v>
      </c>
      <c r="V35" s="745">
        <f>성적입력!F$4/계산도구!Z35</f>
        <v>0.8098591549295775</v>
      </c>
      <c r="W35" s="746"/>
      <c r="X35" s="747">
        <f t="shared" si="17"/>
        <v>140</v>
      </c>
      <c r="Y35" s="748">
        <f t="shared" si="17"/>
        <v>147</v>
      </c>
      <c r="Z35" s="748">
        <f t="shared" si="17"/>
        <v>142</v>
      </c>
      <c r="AA35" s="748">
        <v>100</v>
      </c>
      <c r="AB35" s="749"/>
      <c r="AC35" s="737"/>
      <c r="AD35" s="750">
        <v>0.3</v>
      </c>
      <c r="AE35" s="751">
        <v>0.15</v>
      </c>
      <c r="AF35" s="751">
        <v>0.35</v>
      </c>
      <c r="AG35" s="752">
        <v>0.2</v>
      </c>
      <c r="AH35" s="1339" t="s">
        <v>729</v>
      </c>
      <c r="AI35" s="1339"/>
      <c r="AJ35" s="737"/>
      <c r="AK35" s="747"/>
      <c r="BD35" s="747"/>
      <c r="BF35" s="868"/>
      <c r="BG35" s="747"/>
    </row>
    <row r="36" spans="1:59" s="768" customFormat="1" ht="14.25" thickBot="1">
      <c r="A36" s="1107" t="s">
        <v>440</v>
      </c>
      <c r="B36" s="753" t="s">
        <v>70</v>
      </c>
      <c r="C36" s="754">
        <v>700</v>
      </c>
      <c r="D36" s="755">
        <f t="shared" si="13"/>
        <v>93.75</v>
      </c>
      <c r="E36" s="756">
        <f t="shared" si="13"/>
        <v>231.66666666666666</v>
      </c>
      <c r="F36" s="756">
        <f t="shared" si="13"/>
        <v>170.07042253521126</v>
      </c>
      <c r="G36" s="757">
        <f t="shared" si="14"/>
        <v>136.5</v>
      </c>
      <c r="H36" s="503"/>
      <c r="I36" s="758">
        <f t="shared" si="9"/>
        <v>105</v>
      </c>
      <c r="J36" s="759">
        <f t="shared" si="9"/>
        <v>244.99999999999997</v>
      </c>
      <c r="K36" s="759">
        <f t="shared" si="9"/>
        <v>210</v>
      </c>
      <c r="L36" s="760">
        <f t="shared" si="9"/>
        <v>140</v>
      </c>
      <c r="M36" s="741">
        <f>(LARGE(N36:Q36,1)+LARGE(N36:Q36,2))/2</f>
        <v>0.97499999999999998</v>
      </c>
      <c r="N36" s="758">
        <f>성적입력!G$5/계산도구!$AA36</f>
        <v>0.98</v>
      </c>
      <c r="O36" s="759">
        <f>성적입력!H$5/계산도구!$AA36</f>
        <v>0.97</v>
      </c>
      <c r="P36" s="761">
        <f>성적입력!I$5/계산도구!$AA36</f>
        <v>0.88</v>
      </c>
      <c r="Q36" s="761">
        <f>성적입력!J$5/계산도구!$AA36</f>
        <v>0.63</v>
      </c>
      <c r="R36" s="762"/>
      <c r="S36" s="503"/>
      <c r="T36" s="763">
        <f>성적입력!D$4/계산도구!X36</f>
        <v>0.8928571428571429</v>
      </c>
      <c r="U36" s="764">
        <f>성적입력!E$4/계산도구!Y36</f>
        <v>0.94557823129251706</v>
      </c>
      <c r="V36" s="765">
        <f>성적입력!F$4/계산도구!Z36</f>
        <v>0.8098591549295775</v>
      </c>
      <c r="W36" s="766"/>
      <c r="X36" s="767">
        <f t="shared" si="17"/>
        <v>140</v>
      </c>
      <c r="Y36" s="768">
        <f t="shared" si="17"/>
        <v>147</v>
      </c>
      <c r="Z36" s="768">
        <f t="shared" si="17"/>
        <v>142</v>
      </c>
      <c r="AA36" s="768">
        <v>100</v>
      </c>
      <c r="AB36" s="769"/>
      <c r="AC36" s="503"/>
      <c r="AD36" s="770">
        <v>0.15</v>
      </c>
      <c r="AE36" s="771">
        <v>0.35</v>
      </c>
      <c r="AF36" s="771">
        <v>0.3</v>
      </c>
      <c r="AG36" s="772">
        <v>0.2</v>
      </c>
      <c r="AH36" s="1340"/>
      <c r="AI36" s="1340"/>
      <c r="AJ36" s="503"/>
      <c r="AK36" s="767"/>
      <c r="BD36" s="767"/>
      <c r="BF36" s="867"/>
      <c r="BG36" s="767"/>
    </row>
    <row r="37" spans="1:59" s="199" customFormat="1" ht="14.25" thickBot="1">
      <c r="A37" s="1101" t="s">
        <v>85</v>
      </c>
      <c r="B37" s="204" t="s">
        <v>59</v>
      </c>
      <c r="C37" s="451">
        <v>700</v>
      </c>
      <c r="D37" s="427">
        <f t="shared" si="13"/>
        <v>131.25</v>
      </c>
      <c r="E37" s="177">
        <f t="shared" si="13"/>
        <v>97.3</v>
      </c>
      <c r="F37" s="177">
        <f t="shared" si="13"/>
        <v>120.74999999999999</v>
      </c>
      <c r="G37" s="178">
        <f t="shared" si="14"/>
        <v>117.92772727272727</v>
      </c>
      <c r="H37" s="81"/>
      <c r="I37" s="85">
        <f>AD37*$C37</f>
        <v>210</v>
      </c>
      <c r="J37" s="86">
        <f>AE37*$C37</f>
        <v>140</v>
      </c>
      <c r="K37" s="86">
        <f>AF37*$C37</f>
        <v>210</v>
      </c>
      <c r="L37" s="156">
        <f>AG37*$C37</f>
        <v>140</v>
      </c>
      <c r="M37" s="982">
        <f>((LARGE(N37:R37,1)+LARGE(N37:R37,2))/2+100)/AA37</f>
        <v>0.84234090909090908</v>
      </c>
      <c r="N37" s="85">
        <f>VLOOKUP(성적입력!G$5,보정점수표!$A$3:$M$103,11,FALSE)</f>
        <v>68.918181818181822</v>
      </c>
      <c r="O37" s="86">
        <f>VLOOKUP(성적입력!H$5,보정점수표!$A$3:$M$103,11,FALSE)</f>
        <v>68.018181818181816</v>
      </c>
      <c r="P37" s="86">
        <f>VLOOKUP(성적입력!I$5,보정점수표!$A$3:$M$103,11,FALSE)</f>
        <v>63.325757575757578</v>
      </c>
      <c r="Q37" s="86">
        <f>VLOOKUP(성적입력!J$5,보정점수표!$A$3:$M$103,11,FALSE)</f>
        <v>53.446969696969695</v>
      </c>
      <c r="R37" s="87"/>
      <c r="S37" s="81"/>
      <c r="T37" s="88">
        <f>성적입력!D$4/계산도구!X37</f>
        <v>0.625</v>
      </c>
      <c r="U37" s="83">
        <f>성적입력!E$4/계산도구!Y37</f>
        <v>0.69499999999999995</v>
      </c>
      <c r="V37" s="84">
        <f>성적입력!F$4/계산도구!Z37</f>
        <v>0.57499999999999996</v>
      </c>
      <c r="W37" s="89"/>
      <c r="X37" s="82">
        <v>200</v>
      </c>
      <c r="Y37" s="199">
        <v>200</v>
      </c>
      <c r="Z37" s="199">
        <v>200</v>
      </c>
      <c r="AA37" s="199">
        <v>200</v>
      </c>
      <c r="AB37" s="90"/>
      <c r="AC37" s="81"/>
      <c r="AD37" s="570">
        <v>0.3</v>
      </c>
      <c r="AE37" s="571">
        <v>0.2</v>
      </c>
      <c r="AF37" s="571">
        <v>0.3</v>
      </c>
      <c r="AG37" s="572">
        <v>0.2</v>
      </c>
      <c r="AH37" s="1333"/>
      <c r="AI37" s="1333"/>
      <c r="AJ37" s="81"/>
      <c r="AK37" s="82"/>
      <c r="AL37" s="872"/>
      <c r="AM37" s="872"/>
      <c r="AN37" s="872"/>
      <c r="AO37" s="872"/>
      <c r="AP37" s="872"/>
      <c r="AQ37" s="872"/>
      <c r="AR37" s="872"/>
      <c r="AS37" s="872"/>
      <c r="AT37" s="872"/>
      <c r="AU37" s="872"/>
      <c r="AV37" s="872"/>
      <c r="AW37" s="872"/>
      <c r="AX37" s="872"/>
      <c r="AY37" s="872"/>
      <c r="AZ37" s="872"/>
      <c r="BA37" s="872"/>
      <c r="BB37" s="872"/>
      <c r="BC37" s="1221"/>
      <c r="BD37" s="82"/>
      <c r="BF37" s="1222"/>
      <c r="BG37" s="82"/>
    </row>
    <row r="38" spans="1:59" s="1261" customFormat="1" ht="14.25" customHeight="1">
      <c r="A38" s="1089" t="s">
        <v>86</v>
      </c>
      <c r="B38" s="1244" t="s">
        <v>433</v>
      </c>
      <c r="C38" s="1245">
        <v>70</v>
      </c>
      <c r="D38" s="1246">
        <f t="shared" ref="D38:G39" si="18">(I38/$H38)*$C38</f>
        <v>12.792397660818713</v>
      </c>
      <c r="E38" s="1247">
        <f t="shared" si="18"/>
        <v>21.337719298245613</v>
      </c>
      <c r="F38" s="1247">
        <f t="shared" si="18"/>
        <v>20.595760233918128</v>
      </c>
      <c r="G38" s="1248">
        <f t="shared" si="18"/>
        <v>7.4835526315789469</v>
      </c>
      <c r="H38" s="1249">
        <f>(X38*AD38+Y38*AE38+Z38*AF38+AA38*AG38)</f>
        <v>684</v>
      </c>
      <c r="I38" s="1250">
        <f>성적입력!D$4*계산도구!AD38</f>
        <v>125</v>
      </c>
      <c r="J38" s="1251">
        <f>성적입력!E$4*계산도구!AE38</f>
        <v>208.5</v>
      </c>
      <c r="K38" s="1251">
        <f>성적입력!F$4*계산도구!AF38</f>
        <v>201.25</v>
      </c>
      <c r="L38" s="1252">
        <f>M38*계산도구!AG38</f>
        <v>73.125</v>
      </c>
      <c r="M38" s="1253">
        <f t="shared" ref="M38:M43" si="19">(LARGE(N38:R38,1)+LARGE(N38:R38,2))/2</f>
        <v>97.5</v>
      </c>
      <c r="N38" s="1250">
        <f>성적입력!G$5</f>
        <v>98</v>
      </c>
      <c r="O38" s="1251">
        <f>성적입력!H$5</f>
        <v>97</v>
      </c>
      <c r="P38" s="1254">
        <f>성적입력!I$5</f>
        <v>88</v>
      </c>
      <c r="Q38" s="1254">
        <f>성적입력!J$5</f>
        <v>63</v>
      </c>
      <c r="R38" s="1255"/>
      <c r="S38" s="1249"/>
      <c r="T38" s="1256">
        <f>성적입력!D$4/계산도구!X38</f>
        <v>0.8928571428571429</v>
      </c>
      <c r="U38" s="1257">
        <f>성적입력!E$4/계산도구!Y38</f>
        <v>0.94557823129251706</v>
      </c>
      <c r="V38" s="1258">
        <f>성적입력!F$4/계산도구!Z38</f>
        <v>0.8098591549295775</v>
      </c>
      <c r="W38" s="1259"/>
      <c r="X38" s="1260">
        <f t="shared" ref="X38:Z41" si="20">AK$2</f>
        <v>140</v>
      </c>
      <c r="Y38" s="1261">
        <f t="shared" si="20"/>
        <v>147</v>
      </c>
      <c r="Z38" s="1261">
        <f t="shared" si="20"/>
        <v>142</v>
      </c>
      <c r="AA38" s="1261">
        <v>100</v>
      </c>
      <c r="AB38" s="1262"/>
      <c r="AC38" s="1249"/>
      <c r="AD38" s="1263">
        <v>1</v>
      </c>
      <c r="AE38" s="1264">
        <v>1.5</v>
      </c>
      <c r="AF38" s="1264">
        <v>1.75</v>
      </c>
      <c r="AG38" s="1265">
        <v>0.75</v>
      </c>
      <c r="AH38" s="1266"/>
      <c r="AI38" s="1266"/>
      <c r="AJ38" s="1249"/>
      <c r="AK38" s="1260"/>
      <c r="BD38" s="1260"/>
      <c r="BF38" s="1267"/>
      <c r="BG38" s="1260"/>
    </row>
    <row r="39" spans="1:59" s="1285" customFormat="1" ht="14.25" customHeight="1">
      <c r="A39" s="1126" t="s">
        <v>87</v>
      </c>
      <c r="B39" s="1268" t="s">
        <v>434</v>
      </c>
      <c r="C39" s="1269">
        <v>70</v>
      </c>
      <c r="D39" s="1270">
        <f t="shared" si="18"/>
        <v>19.28728875826598</v>
      </c>
      <c r="E39" s="1271">
        <f t="shared" si="18"/>
        <v>14.298310066127847</v>
      </c>
      <c r="F39" s="1271">
        <f t="shared" si="18"/>
        <v>20.701689933872149</v>
      </c>
      <c r="G39" s="1272">
        <f t="shared" si="18"/>
        <v>7.5220426157237323</v>
      </c>
      <c r="H39" s="1273">
        <f>(X39*AD39+Y39*AE39+Z39*AF39+AA39*AG39)</f>
        <v>680.5</v>
      </c>
      <c r="I39" s="1274">
        <f>성적입력!D$4*계산도구!AD39</f>
        <v>187.5</v>
      </c>
      <c r="J39" s="1275">
        <f>성적입력!E$4*계산도구!AE39</f>
        <v>139</v>
      </c>
      <c r="K39" s="1275">
        <f>성적입력!F$4*계산도구!AF39</f>
        <v>201.25</v>
      </c>
      <c r="L39" s="1276">
        <f>M39*계산도구!AG39</f>
        <v>73.125</v>
      </c>
      <c r="M39" s="1277">
        <f t="shared" si="19"/>
        <v>97.5</v>
      </c>
      <c r="N39" s="1274">
        <f>성적입력!G$5</f>
        <v>98</v>
      </c>
      <c r="O39" s="1275">
        <f>성적입력!H$5</f>
        <v>97</v>
      </c>
      <c r="P39" s="1278">
        <f>성적입력!I$5</f>
        <v>88</v>
      </c>
      <c r="Q39" s="1278">
        <f>성적입력!J$5</f>
        <v>63</v>
      </c>
      <c r="R39" s="1279"/>
      <c r="S39" s="1273"/>
      <c r="T39" s="1280">
        <f>성적입력!D$4/계산도구!X39</f>
        <v>0.8928571428571429</v>
      </c>
      <c r="U39" s="1281">
        <f>성적입력!E$4/계산도구!Y39</f>
        <v>0.94557823129251706</v>
      </c>
      <c r="V39" s="1282">
        <f>성적입력!F$4/계산도구!Z39</f>
        <v>0.8098591549295775</v>
      </c>
      <c r="W39" s="1283"/>
      <c r="X39" s="1284">
        <f t="shared" si="20"/>
        <v>140</v>
      </c>
      <c r="Y39" s="1285">
        <f t="shared" si="20"/>
        <v>147</v>
      </c>
      <c r="Z39" s="1285">
        <f t="shared" si="20"/>
        <v>142</v>
      </c>
      <c r="AA39" s="1285">
        <v>100</v>
      </c>
      <c r="AB39" s="1286"/>
      <c r="AC39" s="1273"/>
      <c r="AD39" s="1287">
        <v>1.5</v>
      </c>
      <c r="AE39" s="1288">
        <v>1</v>
      </c>
      <c r="AF39" s="1288">
        <v>1.75</v>
      </c>
      <c r="AG39" s="1289">
        <v>0.75</v>
      </c>
      <c r="AH39" s="1290"/>
      <c r="AI39" s="1290"/>
      <c r="AJ39" s="1273"/>
      <c r="AK39" s="1284"/>
      <c r="BD39" s="1284"/>
      <c r="BF39" s="1291"/>
      <c r="BG39" s="1284"/>
    </row>
    <row r="40" spans="1:59" s="1261" customFormat="1" ht="14.25" customHeight="1">
      <c r="A40" s="1292" t="s">
        <v>431</v>
      </c>
      <c r="B40" s="1244" t="s">
        <v>435</v>
      </c>
      <c r="C40" s="1245"/>
      <c r="D40" s="1246">
        <f t="shared" ref="D40:G41" si="21">I40</f>
        <v>125</v>
      </c>
      <c r="E40" s="1247">
        <f t="shared" si="21"/>
        <v>208.5</v>
      </c>
      <c r="F40" s="1247">
        <f t="shared" si="21"/>
        <v>201.25</v>
      </c>
      <c r="G40" s="1248">
        <f t="shared" si="21"/>
        <v>73.125</v>
      </c>
      <c r="H40" s="1249"/>
      <c r="I40" s="1250">
        <f>성적입력!D$4*계산도구!AD40</f>
        <v>125</v>
      </c>
      <c r="J40" s="1251">
        <f>성적입력!E$4*계산도구!AE40</f>
        <v>208.5</v>
      </c>
      <c r="K40" s="1251">
        <f>성적입력!F$4*계산도구!AF40</f>
        <v>201.25</v>
      </c>
      <c r="L40" s="1252">
        <f>M40*계산도구!AG40</f>
        <v>73.125</v>
      </c>
      <c r="M40" s="1253">
        <f t="shared" si="19"/>
        <v>97.5</v>
      </c>
      <c r="N40" s="1250">
        <f>성적입력!G$5</f>
        <v>98</v>
      </c>
      <c r="O40" s="1251">
        <f>성적입력!H$5</f>
        <v>97</v>
      </c>
      <c r="P40" s="1254">
        <f>성적입력!I$5</f>
        <v>88</v>
      </c>
      <c r="Q40" s="1254">
        <f>성적입력!J$5</f>
        <v>63</v>
      </c>
      <c r="R40" s="1255"/>
      <c r="S40" s="1249"/>
      <c r="T40" s="1256">
        <f>성적입력!D$4/계산도구!X40</f>
        <v>0.8928571428571429</v>
      </c>
      <c r="U40" s="1257">
        <f>성적입력!E$4/계산도구!Y40</f>
        <v>0.94557823129251706</v>
      </c>
      <c r="V40" s="1258">
        <f>성적입력!F$4/계산도구!Z40</f>
        <v>0.8098591549295775</v>
      </c>
      <c r="W40" s="1259"/>
      <c r="X40" s="1260">
        <f t="shared" si="20"/>
        <v>140</v>
      </c>
      <c r="Y40" s="1261">
        <f t="shared" si="20"/>
        <v>147</v>
      </c>
      <c r="Z40" s="1261">
        <f t="shared" si="20"/>
        <v>142</v>
      </c>
      <c r="AA40" s="1261">
        <v>100</v>
      </c>
      <c r="AB40" s="1262"/>
      <c r="AC40" s="1249"/>
      <c r="AD40" s="1263">
        <v>1</v>
      </c>
      <c r="AE40" s="1264">
        <v>1.5</v>
      </c>
      <c r="AF40" s="1264">
        <v>1.75</v>
      </c>
      <c r="AG40" s="1265">
        <v>0.75</v>
      </c>
      <c r="AH40" s="1266"/>
      <c r="AI40" s="1266"/>
      <c r="AJ40" s="1249"/>
      <c r="AK40" s="1260"/>
      <c r="BD40" s="1260"/>
      <c r="BF40" s="1267"/>
      <c r="BG40" s="1260"/>
    </row>
    <row r="41" spans="1:59" s="1261" customFormat="1" ht="14.25" customHeight="1" thickBot="1">
      <c r="A41" s="1292" t="s">
        <v>432</v>
      </c>
      <c r="B41" s="1244" t="s">
        <v>436</v>
      </c>
      <c r="C41" s="1245"/>
      <c r="D41" s="1246">
        <f t="shared" si="21"/>
        <v>187.5</v>
      </c>
      <c r="E41" s="1247">
        <f t="shared" si="21"/>
        <v>139</v>
      </c>
      <c r="F41" s="1247">
        <f t="shared" si="21"/>
        <v>201.25</v>
      </c>
      <c r="G41" s="1248">
        <f t="shared" si="21"/>
        <v>73.125</v>
      </c>
      <c r="H41" s="1249"/>
      <c r="I41" s="1250">
        <f>성적입력!D$4*계산도구!AD41</f>
        <v>187.5</v>
      </c>
      <c r="J41" s="1251">
        <f>성적입력!E$4*계산도구!AE41</f>
        <v>139</v>
      </c>
      <c r="K41" s="1251">
        <f>성적입력!F$4*계산도구!AF41</f>
        <v>201.25</v>
      </c>
      <c r="L41" s="1252">
        <f>M41*계산도구!AG41</f>
        <v>73.125</v>
      </c>
      <c r="M41" s="1253">
        <f t="shared" si="19"/>
        <v>97.5</v>
      </c>
      <c r="N41" s="1250">
        <f>성적입력!G$5</f>
        <v>98</v>
      </c>
      <c r="O41" s="1251">
        <f>성적입력!H$5</f>
        <v>97</v>
      </c>
      <c r="P41" s="1254">
        <f>성적입력!I$5</f>
        <v>88</v>
      </c>
      <c r="Q41" s="1254">
        <f>성적입력!J$5</f>
        <v>63</v>
      </c>
      <c r="R41" s="1255"/>
      <c r="S41" s="1249"/>
      <c r="T41" s="1256">
        <f>성적입력!D$4/계산도구!X41</f>
        <v>0.8928571428571429</v>
      </c>
      <c r="U41" s="1257">
        <f>성적입력!E$4/계산도구!Y41</f>
        <v>0.94557823129251706</v>
      </c>
      <c r="V41" s="1258">
        <f>성적입력!F$4/계산도구!Z41</f>
        <v>0.8098591549295775</v>
      </c>
      <c r="W41" s="1259"/>
      <c r="X41" s="1260">
        <f t="shared" si="20"/>
        <v>140</v>
      </c>
      <c r="Y41" s="1261">
        <f t="shared" si="20"/>
        <v>147</v>
      </c>
      <c r="Z41" s="1261">
        <f t="shared" si="20"/>
        <v>142</v>
      </c>
      <c r="AA41" s="1261">
        <v>100</v>
      </c>
      <c r="AB41" s="1262"/>
      <c r="AC41" s="1249"/>
      <c r="AD41" s="1263">
        <v>1.5</v>
      </c>
      <c r="AE41" s="1264">
        <v>1</v>
      </c>
      <c r="AF41" s="1264">
        <v>1.75</v>
      </c>
      <c r="AG41" s="1265">
        <v>0.75</v>
      </c>
      <c r="AH41" s="1266"/>
      <c r="AI41" s="1266"/>
      <c r="AJ41" s="1249"/>
      <c r="AK41" s="1260"/>
      <c r="BD41" s="1260"/>
      <c r="BF41" s="1267"/>
      <c r="BG41" s="1260"/>
    </row>
    <row r="42" spans="1:59" s="19" customFormat="1">
      <c r="A42" s="1092" t="s">
        <v>323</v>
      </c>
      <c r="B42" s="207" t="s">
        <v>59</v>
      </c>
      <c r="C42" s="443">
        <v>600</v>
      </c>
      <c r="D42" s="419">
        <f t="shared" ref="D42:F44" si="22">T42*I42</f>
        <v>184</v>
      </c>
      <c r="E42" s="182">
        <f t="shared" si="22"/>
        <v>96</v>
      </c>
      <c r="F42" s="182">
        <f t="shared" si="22"/>
        <v>146</v>
      </c>
      <c r="G42" s="183">
        <f t="shared" ref="G42:G47" si="23">M42*L42</f>
        <v>97.5</v>
      </c>
      <c r="H42" s="46"/>
      <c r="I42" s="37">
        <f t="shared" ref="I42:I52" si="24">AD42*$C42</f>
        <v>200</v>
      </c>
      <c r="J42" s="22">
        <f t="shared" ref="J42:J52" si="25">AE42*$C42</f>
        <v>100</v>
      </c>
      <c r="K42" s="22">
        <f t="shared" ref="K42:K52" si="26">AF42*$C42</f>
        <v>200</v>
      </c>
      <c r="L42" s="171">
        <f t="shared" ref="L42:L52" si="27">AG42*$C42</f>
        <v>100</v>
      </c>
      <c r="M42" s="472">
        <f t="shared" si="19"/>
        <v>0.97499999999999998</v>
      </c>
      <c r="N42" s="37">
        <f>성적입력!G$5/$AA42</f>
        <v>0.98</v>
      </c>
      <c r="O42" s="22">
        <f>성적입력!H$5/$AA42</f>
        <v>0.97</v>
      </c>
      <c r="P42" s="22">
        <f>성적입력!I$5/$AA42</f>
        <v>0.88</v>
      </c>
      <c r="Q42" s="22">
        <f>성적입력!J$5/$AA42</f>
        <v>0.63</v>
      </c>
      <c r="R42" s="62"/>
      <c r="S42" s="46"/>
      <c r="T42" s="67">
        <f>성적입력!D$5/계산도구!X42</f>
        <v>0.92</v>
      </c>
      <c r="U42" s="21">
        <f>성적입력!E$5/계산도구!Y42</f>
        <v>0.96</v>
      </c>
      <c r="V42" s="32">
        <f>성적입력!F$5/계산도구!Z42</f>
        <v>0.73</v>
      </c>
      <c r="W42" s="72"/>
      <c r="X42" s="57">
        <v>100</v>
      </c>
      <c r="Y42" s="19">
        <v>100</v>
      </c>
      <c r="Z42" s="19">
        <v>100</v>
      </c>
      <c r="AA42" s="19">
        <v>100</v>
      </c>
      <c r="AB42" s="77"/>
      <c r="AC42" s="46"/>
      <c r="AD42" s="1016">
        <f>2/6</f>
        <v>0.33333333333333331</v>
      </c>
      <c r="AE42" s="1017">
        <f>1/6</f>
        <v>0.16666666666666666</v>
      </c>
      <c r="AF42" s="1017">
        <v>0.33333333333333331</v>
      </c>
      <c r="AG42" s="1018">
        <v>0.16666666666666666</v>
      </c>
      <c r="AH42" s="1324"/>
      <c r="AI42" s="1324"/>
      <c r="AJ42" s="46"/>
      <c r="AK42" s="57"/>
      <c r="BD42" s="57"/>
      <c r="BF42" s="912"/>
      <c r="BG42" s="57"/>
    </row>
    <row r="43" spans="1:59" s="20" customFormat="1" ht="14.25" thickBot="1">
      <c r="A43" s="1094" t="s">
        <v>324</v>
      </c>
      <c r="B43" s="209" t="s">
        <v>178</v>
      </c>
      <c r="C43" s="445">
        <v>600</v>
      </c>
      <c r="D43" s="421">
        <f t="shared" si="22"/>
        <v>92</v>
      </c>
      <c r="E43" s="186">
        <f t="shared" si="22"/>
        <v>192</v>
      </c>
      <c r="F43" s="186">
        <f t="shared" si="22"/>
        <v>146</v>
      </c>
      <c r="G43" s="187">
        <f t="shared" si="23"/>
        <v>97.5</v>
      </c>
      <c r="H43" s="48"/>
      <c r="I43" s="39">
        <f t="shared" si="24"/>
        <v>100</v>
      </c>
      <c r="J43" s="25">
        <f t="shared" si="25"/>
        <v>200</v>
      </c>
      <c r="K43" s="25">
        <f t="shared" si="26"/>
        <v>200</v>
      </c>
      <c r="L43" s="173">
        <f t="shared" si="27"/>
        <v>100</v>
      </c>
      <c r="M43" s="474">
        <f t="shared" si="19"/>
        <v>0.97499999999999998</v>
      </c>
      <c r="N43" s="39">
        <f>성적입력!G$5/$AA43</f>
        <v>0.98</v>
      </c>
      <c r="O43" s="25">
        <f>성적입력!H$5/$AA43</f>
        <v>0.97</v>
      </c>
      <c r="P43" s="25">
        <f>성적입력!I$5/$AA43</f>
        <v>0.88</v>
      </c>
      <c r="Q43" s="25">
        <f>성적입력!J$5/$AA43</f>
        <v>0.63</v>
      </c>
      <c r="R43" s="64"/>
      <c r="S43" s="48"/>
      <c r="T43" s="69">
        <f>성적입력!D$5/계산도구!X43</f>
        <v>0.92</v>
      </c>
      <c r="U43" s="24">
        <f>성적입력!E$5/계산도구!Y43</f>
        <v>0.96</v>
      </c>
      <c r="V43" s="34">
        <f>성적입력!F$5/계산도구!Z43</f>
        <v>0.73</v>
      </c>
      <c r="W43" s="74"/>
      <c r="X43" s="59">
        <v>100</v>
      </c>
      <c r="Y43" s="20">
        <v>100</v>
      </c>
      <c r="Z43" s="20">
        <v>100</v>
      </c>
      <c r="AA43" s="20">
        <v>100</v>
      </c>
      <c r="AB43" s="79"/>
      <c r="AC43" s="48"/>
      <c r="AD43" s="896">
        <v>0.16666666666666666</v>
      </c>
      <c r="AE43" s="897">
        <v>0.33333333333333331</v>
      </c>
      <c r="AF43" s="897">
        <v>0.33333333333333331</v>
      </c>
      <c r="AG43" s="898">
        <v>0.16666666666666666</v>
      </c>
      <c r="AH43" s="1326"/>
      <c r="AI43" s="1326"/>
      <c r="AJ43" s="48"/>
      <c r="AK43" s="59"/>
      <c r="BD43" s="59"/>
      <c r="BF43" s="913"/>
      <c r="BG43" s="59"/>
    </row>
    <row r="44" spans="1:59" s="16" customFormat="1">
      <c r="A44" s="1102" t="s">
        <v>325</v>
      </c>
      <c r="B44" s="211" t="s">
        <v>179</v>
      </c>
      <c r="C44" s="452">
        <v>700</v>
      </c>
      <c r="D44" s="428">
        <f t="shared" si="22"/>
        <v>225.39999999999998</v>
      </c>
      <c r="E44" s="191">
        <f t="shared" si="22"/>
        <v>67.2</v>
      </c>
      <c r="F44" s="191">
        <f t="shared" si="22"/>
        <v>178.84999999999997</v>
      </c>
      <c r="G44" s="192">
        <f t="shared" si="23"/>
        <v>137.19999999999999</v>
      </c>
      <c r="H44" s="49"/>
      <c r="I44" s="40">
        <f t="shared" si="24"/>
        <v>244.99999999999997</v>
      </c>
      <c r="J44" s="28">
        <f t="shared" si="25"/>
        <v>70</v>
      </c>
      <c r="K44" s="28">
        <f t="shared" si="26"/>
        <v>244.99999999999997</v>
      </c>
      <c r="L44" s="175">
        <f t="shared" si="27"/>
        <v>140</v>
      </c>
      <c r="M44" s="637">
        <f>(LARGE(N44:R44,1))</f>
        <v>0.98</v>
      </c>
      <c r="N44" s="40">
        <f>성적입력!G$5/계산도구!$AA44</f>
        <v>0.98</v>
      </c>
      <c r="O44" s="28">
        <f>성적입력!H$5/계산도구!$AA44</f>
        <v>0.97</v>
      </c>
      <c r="P44" s="397">
        <f>성적입력!I$5/계산도구!$AA44</f>
        <v>0.88</v>
      </c>
      <c r="Q44" s="397">
        <f>성적입력!J$5/계산도구!$AA44</f>
        <v>0.63</v>
      </c>
      <c r="R44" s="65"/>
      <c r="S44" s="49"/>
      <c r="T44" s="70">
        <f>성적입력!D$5/계산도구!X44</f>
        <v>0.92</v>
      </c>
      <c r="U44" s="27">
        <f>성적입력!E$5/계산도구!Y44</f>
        <v>0.96</v>
      </c>
      <c r="V44" s="35">
        <f>성적입력!F$5/계산도구!Z44</f>
        <v>0.73</v>
      </c>
      <c r="W44" s="75"/>
      <c r="X44" s="60">
        <v>100</v>
      </c>
      <c r="Y44" s="16">
        <v>100</v>
      </c>
      <c r="Z44" s="16">
        <v>100</v>
      </c>
      <c r="AA44" s="16">
        <v>100</v>
      </c>
      <c r="AB44" s="51"/>
      <c r="AC44" s="49"/>
      <c r="AD44" s="573">
        <v>0.35</v>
      </c>
      <c r="AE44" s="574">
        <v>0.1</v>
      </c>
      <c r="AF44" s="574">
        <v>0.35</v>
      </c>
      <c r="AG44" s="575">
        <v>0.2</v>
      </c>
      <c r="AH44" s="1336"/>
      <c r="AI44" s="1336"/>
      <c r="AJ44" s="49"/>
      <c r="AK44" s="60"/>
      <c r="BD44" s="60"/>
      <c r="BF44" s="929"/>
      <c r="BG44" s="60"/>
    </row>
    <row r="45" spans="1:59" s="10" customFormat="1">
      <c r="A45" s="1103" t="s">
        <v>326</v>
      </c>
      <c r="B45" s="208" t="s">
        <v>180</v>
      </c>
      <c r="C45" s="444">
        <v>700</v>
      </c>
      <c r="D45" s="420">
        <f>T45*I45</f>
        <v>161</v>
      </c>
      <c r="E45" s="184">
        <f t="shared" ref="E45:E50" si="28">U45*J45</f>
        <v>168</v>
      </c>
      <c r="F45" s="184">
        <f t="shared" ref="F45:F52" si="29">V45*K45</f>
        <v>127.75</v>
      </c>
      <c r="G45" s="185">
        <f t="shared" si="23"/>
        <v>171.5</v>
      </c>
      <c r="H45" s="47"/>
      <c r="I45" s="38">
        <f t="shared" si="24"/>
        <v>175</v>
      </c>
      <c r="J45" s="12">
        <f t="shared" si="25"/>
        <v>175</v>
      </c>
      <c r="K45" s="12">
        <f t="shared" si="26"/>
        <v>175</v>
      </c>
      <c r="L45" s="172">
        <f t="shared" si="27"/>
        <v>175</v>
      </c>
      <c r="M45" s="638">
        <f>(LARGE(N45:R45,1))</f>
        <v>0.98</v>
      </c>
      <c r="N45" s="38">
        <f>성적입력!G$5/계산도구!$AA45</f>
        <v>0.98</v>
      </c>
      <c r="O45" s="12">
        <f>성적입력!H$5/계산도구!$AA45</f>
        <v>0.97</v>
      </c>
      <c r="P45" s="13">
        <f>성적입력!I$5/계산도구!$AA45</f>
        <v>0.88</v>
      </c>
      <c r="Q45" s="13">
        <f>성적입력!J$5/계산도구!$AA45</f>
        <v>0.63</v>
      </c>
      <c r="R45" s="63"/>
      <c r="S45" s="47"/>
      <c r="T45" s="68">
        <f>성적입력!D$5/계산도구!X45</f>
        <v>0.92</v>
      </c>
      <c r="U45" s="11">
        <f>성적입력!E$5/계산도구!Y45</f>
        <v>0.96</v>
      </c>
      <c r="V45" s="33">
        <f>성적입력!F$5/계산도구!Z45</f>
        <v>0.73</v>
      </c>
      <c r="W45" s="73"/>
      <c r="X45" s="58">
        <v>100</v>
      </c>
      <c r="Y45" s="10">
        <v>100</v>
      </c>
      <c r="Z45" s="10">
        <v>100</v>
      </c>
      <c r="AA45" s="10">
        <v>100</v>
      </c>
      <c r="AB45" s="78"/>
      <c r="AC45" s="47"/>
      <c r="AD45" s="549">
        <v>0.25</v>
      </c>
      <c r="AE45" s="550">
        <v>0.25</v>
      </c>
      <c r="AF45" s="550">
        <v>0.25</v>
      </c>
      <c r="AG45" s="551">
        <v>0.25</v>
      </c>
      <c r="AH45" s="1325"/>
      <c r="AI45" s="1325"/>
      <c r="AJ45" s="47"/>
      <c r="AK45" s="58"/>
      <c r="BD45" s="58"/>
      <c r="BF45" s="927"/>
      <c r="BG45" s="58"/>
    </row>
    <row r="46" spans="1:59" s="679" customFormat="1">
      <c r="A46" s="1110" t="s">
        <v>333</v>
      </c>
      <c r="B46" s="663" t="s">
        <v>242</v>
      </c>
      <c r="C46" s="664">
        <v>700</v>
      </c>
      <c r="D46" s="665">
        <f>T46*I46</f>
        <v>193.20000000000002</v>
      </c>
      <c r="E46" s="666">
        <f t="shared" si="28"/>
        <v>134.4</v>
      </c>
      <c r="F46" s="666">
        <f t="shared" si="29"/>
        <v>255.5</v>
      </c>
      <c r="G46" s="667">
        <f t="shared" si="23"/>
        <v>0</v>
      </c>
      <c r="H46" s="663"/>
      <c r="I46" s="668">
        <f t="shared" si="24"/>
        <v>210</v>
      </c>
      <c r="J46" s="669">
        <f t="shared" si="25"/>
        <v>140</v>
      </c>
      <c r="K46" s="669">
        <f t="shared" si="26"/>
        <v>350</v>
      </c>
      <c r="L46" s="670">
        <f t="shared" si="27"/>
        <v>0</v>
      </c>
      <c r="M46" s="671">
        <f>(LARGE(N46:R46,1))</f>
        <v>0.98</v>
      </c>
      <c r="N46" s="668">
        <f>성적입력!G$5/계산도구!$AA46</f>
        <v>0.98</v>
      </c>
      <c r="O46" s="669">
        <f>성적입력!H$5/계산도구!$AA46</f>
        <v>0.97</v>
      </c>
      <c r="P46" s="672">
        <f>성적입력!I$5/계산도구!$AA46</f>
        <v>0.88</v>
      </c>
      <c r="Q46" s="672">
        <f>성적입력!J$5/계산도구!$AA46</f>
        <v>0.63</v>
      </c>
      <c r="R46" s="673"/>
      <c r="S46" s="663"/>
      <c r="T46" s="674">
        <f>성적입력!D$5/계산도구!X46</f>
        <v>0.92</v>
      </c>
      <c r="U46" s="675">
        <f>성적입력!E$5/계산도구!Y46</f>
        <v>0.96</v>
      </c>
      <c r="V46" s="676">
        <f>성적입력!F$5/계산도구!Z46</f>
        <v>0.73</v>
      </c>
      <c r="W46" s="677"/>
      <c r="X46" s="678">
        <v>100</v>
      </c>
      <c r="Y46" s="679">
        <v>100</v>
      </c>
      <c r="Z46" s="679">
        <v>100</v>
      </c>
      <c r="AA46" s="679">
        <v>100</v>
      </c>
      <c r="AB46" s="608"/>
      <c r="AC46" s="663"/>
      <c r="AD46" s="680">
        <v>0.3</v>
      </c>
      <c r="AE46" s="681">
        <v>0.2</v>
      </c>
      <c r="AF46" s="681">
        <v>0.5</v>
      </c>
      <c r="AG46" s="682"/>
      <c r="AH46" s="683"/>
      <c r="AI46" s="683"/>
      <c r="AJ46" s="663"/>
      <c r="AK46" s="678"/>
      <c r="BD46" s="678"/>
      <c r="BF46" s="935"/>
      <c r="BG46" s="678"/>
    </row>
    <row r="47" spans="1:59" s="15" customFormat="1" ht="14.25" thickBot="1">
      <c r="A47" s="1110" t="s">
        <v>334</v>
      </c>
      <c r="B47" s="212" t="s">
        <v>178</v>
      </c>
      <c r="C47" s="453">
        <v>700</v>
      </c>
      <c r="D47" s="429">
        <f>T47*I47</f>
        <v>64.400000000000006</v>
      </c>
      <c r="E47" s="193">
        <f t="shared" si="28"/>
        <v>235.19999999999996</v>
      </c>
      <c r="F47" s="193">
        <f t="shared" si="29"/>
        <v>178.84999999999997</v>
      </c>
      <c r="G47" s="194">
        <f t="shared" si="23"/>
        <v>137.19999999999999</v>
      </c>
      <c r="H47" s="50"/>
      <c r="I47" s="41">
        <f t="shared" si="24"/>
        <v>70</v>
      </c>
      <c r="J47" s="30">
        <f t="shared" si="25"/>
        <v>244.99999999999997</v>
      </c>
      <c r="K47" s="30">
        <f t="shared" si="26"/>
        <v>244.99999999999997</v>
      </c>
      <c r="L47" s="176">
        <f t="shared" si="27"/>
        <v>140</v>
      </c>
      <c r="M47" s="662">
        <f>(LARGE(N47:R47,1))</f>
        <v>0.98</v>
      </c>
      <c r="N47" s="41">
        <f>성적입력!G$5/계산도구!$AA47</f>
        <v>0.98</v>
      </c>
      <c r="O47" s="30">
        <f>성적입력!H$5/계산도구!$AA47</f>
        <v>0.97</v>
      </c>
      <c r="P47" s="31">
        <f>성적입력!I$5/계산도구!$AA47</f>
        <v>0.88</v>
      </c>
      <c r="Q47" s="31">
        <f>성적입력!J$5/계산도구!$AA47</f>
        <v>0.63</v>
      </c>
      <c r="R47" s="66"/>
      <c r="S47" s="50"/>
      <c r="T47" s="71">
        <f>성적입력!D$5/계산도구!X47</f>
        <v>0.92</v>
      </c>
      <c r="U47" s="29">
        <f>성적입력!E$5/계산도구!Y47</f>
        <v>0.96</v>
      </c>
      <c r="V47" s="36">
        <f>성적입력!F$5/계산도구!Z47</f>
        <v>0.73</v>
      </c>
      <c r="W47" s="76"/>
      <c r="X47" s="61">
        <v>100</v>
      </c>
      <c r="Y47" s="15">
        <v>100</v>
      </c>
      <c r="Z47" s="15">
        <v>100</v>
      </c>
      <c r="AA47" s="15">
        <v>100</v>
      </c>
      <c r="AB47" s="52"/>
      <c r="AC47" s="50"/>
      <c r="AD47" s="576">
        <v>0.1</v>
      </c>
      <c r="AE47" s="577">
        <v>0.35</v>
      </c>
      <c r="AF47" s="577">
        <v>0.35</v>
      </c>
      <c r="AG47" s="578">
        <v>0.2</v>
      </c>
      <c r="AH47" s="1341" t="s">
        <v>731</v>
      </c>
      <c r="AI47" s="1341" t="s">
        <v>732</v>
      </c>
      <c r="AJ47" s="50"/>
      <c r="AK47" s="61"/>
      <c r="BD47" s="61"/>
      <c r="BF47" s="936"/>
      <c r="BG47" s="61"/>
    </row>
    <row r="48" spans="1:59" s="19" customFormat="1">
      <c r="A48" s="1092" t="s">
        <v>335</v>
      </c>
      <c r="B48" s="207" t="s">
        <v>430</v>
      </c>
      <c r="C48" s="685">
        <v>900</v>
      </c>
      <c r="D48" s="419">
        <f>T48*I48</f>
        <v>248.4</v>
      </c>
      <c r="E48" s="182">
        <f t="shared" si="28"/>
        <v>0</v>
      </c>
      <c r="F48" s="182">
        <f t="shared" si="29"/>
        <v>328.5</v>
      </c>
      <c r="G48" s="693">
        <f>(M48+0.05)*L48</f>
        <v>184.49999999999997</v>
      </c>
      <c r="H48" s="46"/>
      <c r="I48" s="37">
        <f t="shared" si="24"/>
        <v>270</v>
      </c>
      <c r="J48" s="22">
        <f t="shared" si="25"/>
        <v>0</v>
      </c>
      <c r="K48" s="22">
        <f t="shared" si="26"/>
        <v>450</v>
      </c>
      <c r="L48" s="171">
        <f t="shared" si="27"/>
        <v>180</v>
      </c>
      <c r="M48" s="687">
        <f t="shared" ref="M48:M60" si="30">(LARGE(N48:R48,1)+LARGE(N48:R48,2))/2</f>
        <v>0.97499999999999998</v>
      </c>
      <c r="N48" s="37">
        <f>성적입력!G$5/계산도구!$AA48</f>
        <v>0.98</v>
      </c>
      <c r="O48" s="22">
        <f>성적입력!H$5/계산도구!$AA48</f>
        <v>0.97</v>
      </c>
      <c r="P48" s="23">
        <f>성적입력!I$5/계산도구!$AA48</f>
        <v>0.88</v>
      </c>
      <c r="Q48" s="23">
        <f>성적입력!J$5/계산도구!$AA48</f>
        <v>0.63</v>
      </c>
      <c r="R48" s="62"/>
      <c r="S48" s="46"/>
      <c r="T48" s="67">
        <f>성적입력!D$5/계산도구!X48</f>
        <v>0.92</v>
      </c>
      <c r="U48" s="21">
        <f>성적입력!E$5/계산도구!Y48</f>
        <v>0.96</v>
      </c>
      <c r="V48" s="32">
        <f>성적입력!F$5/계산도구!Z48</f>
        <v>0.73</v>
      </c>
      <c r="W48" s="72"/>
      <c r="X48" s="57">
        <v>100</v>
      </c>
      <c r="Y48" s="19">
        <v>100</v>
      </c>
      <c r="Z48" s="19">
        <v>100</v>
      </c>
      <c r="AA48" s="19">
        <v>100</v>
      </c>
      <c r="AB48" s="77"/>
      <c r="AC48" s="46"/>
      <c r="AD48" s="1016">
        <v>0.3</v>
      </c>
      <c r="AE48" s="1017"/>
      <c r="AF48" s="1017">
        <v>0.5</v>
      </c>
      <c r="AG48" s="1018">
        <v>0.2</v>
      </c>
      <c r="AH48" s="1324" t="s">
        <v>733</v>
      </c>
      <c r="AI48" s="1324"/>
      <c r="AJ48" s="46"/>
      <c r="AK48" s="57"/>
      <c r="BD48" s="57"/>
      <c r="BF48" s="912"/>
      <c r="BG48" s="57"/>
    </row>
    <row r="49" spans="1:59" s="15" customFormat="1">
      <c r="A49" s="1111" t="s">
        <v>336</v>
      </c>
      <c r="B49" s="212" t="s">
        <v>181</v>
      </c>
      <c r="C49" s="1023">
        <v>900</v>
      </c>
      <c r="D49" s="905">
        <f>LARGE((T49,U49),1)*I49</f>
        <v>259.2</v>
      </c>
      <c r="E49" s="193"/>
      <c r="F49" s="193">
        <f t="shared" si="29"/>
        <v>328.5</v>
      </c>
      <c r="G49" s="1025">
        <f>(M49+0.05)*L49</f>
        <v>184.49999999999997</v>
      </c>
      <c r="H49" s="50"/>
      <c r="I49" s="41">
        <f t="shared" si="24"/>
        <v>270</v>
      </c>
      <c r="J49" s="30">
        <f t="shared" si="25"/>
        <v>270</v>
      </c>
      <c r="K49" s="30">
        <f t="shared" si="26"/>
        <v>450</v>
      </c>
      <c r="L49" s="176">
        <f t="shared" si="27"/>
        <v>180</v>
      </c>
      <c r="M49" s="662">
        <f t="shared" si="30"/>
        <v>0.97499999999999998</v>
      </c>
      <c r="N49" s="41">
        <f>성적입력!G$5/계산도구!$AA49</f>
        <v>0.98</v>
      </c>
      <c r="O49" s="30">
        <f>성적입력!H$5/계산도구!$AA49</f>
        <v>0.97</v>
      </c>
      <c r="P49" s="31">
        <f>성적입력!I$5/계산도구!$AA49</f>
        <v>0.88</v>
      </c>
      <c r="Q49" s="31">
        <f>성적입력!J$5/계산도구!$AA49</f>
        <v>0.63</v>
      </c>
      <c r="R49" s="66"/>
      <c r="S49" s="50"/>
      <c r="T49" s="71">
        <f>성적입력!D$5/계산도구!X49</f>
        <v>0.92</v>
      </c>
      <c r="U49" s="29">
        <f>성적입력!E$5/계산도구!Y49</f>
        <v>0.96</v>
      </c>
      <c r="V49" s="36">
        <f>성적입력!F$5/계산도구!Z49</f>
        <v>0.73</v>
      </c>
      <c r="W49" s="76"/>
      <c r="X49" s="61">
        <v>100</v>
      </c>
      <c r="Y49" s="15">
        <v>100</v>
      </c>
      <c r="Z49" s="15">
        <v>100</v>
      </c>
      <c r="AA49" s="15">
        <v>100</v>
      </c>
      <c r="AB49" s="52"/>
      <c r="AC49" s="50"/>
      <c r="AD49" s="900">
        <v>0.3</v>
      </c>
      <c r="AE49" s="901">
        <v>0.3</v>
      </c>
      <c r="AF49" s="901">
        <v>0.5</v>
      </c>
      <c r="AG49" s="902">
        <v>0.2</v>
      </c>
      <c r="AH49" s="1341" t="s">
        <v>733</v>
      </c>
      <c r="AI49" s="1341"/>
      <c r="AJ49" s="50"/>
      <c r="AK49" s="61"/>
      <c r="BD49" s="61"/>
      <c r="BF49" s="936"/>
      <c r="BG49" s="61"/>
    </row>
    <row r="50" spans="1:59" s="20" customFormat="1" ht="14.25" thickBot="1">
      <c r="A50" s="1094" t="s">
        <v>337</v>
      </c>
      <c r="B50" s="209" t="s">
        <v>295</v>
      </c>
      <c r="C50" s="686">
        <v>900</v>
      </c>
      <c r="D50" s="698"/>
      <c r="E50" s="186">
        <f t="shared" si="28"/>
        <v>432</v>
      </c>
      <c r="F50" s="186">
        <f t="shared" si="29"/>
        <v>197.1</v>
      </c>
      <c r="G50" s="700">
        <f t="shared" ref="G50:G65" si="31">M50*L50</f>
        <v>175.5</v>
      </c>
      <c r="H50" s="48"/>
      <c r="I50" s="39">
        <f t="shared" si="24"/>
        <v>0</v>
      </c>
      <c r="J50" s="25">
        <f t="shared" si="25"/>
        <v>450</v>
      </c>
      <c r="K50" s="25">
        <f t="shared" si="26"/>
        <v>270</v>
      </c>
      <c r="L50" s="173">
        <f t="shared" si="27"/>
        <v>180</v>
      </c>
      <c r="M50" s="688">
        <f t="shared" si="30"/>
        <v>0.97499999999999998</v>
      </c>
      <c r="N50" s="39">
        <f>성적입력!G$5/계산도구!$AA50</f>
        <v>0.98</v>
      </c>
      <c r="O50" s="25">
        <f>성적입력!H$5/계산도구!$AA50</f>
        <v>0.97</v>
      </c>
      <c r="P50" s="26">
        <f>성적입력!I$5/계산도구!$AA50</f>
        <v>0.88</v>
      </c>
      <c r="Q50" s="26">
        <f>성적입력!J$5/계산도구!$AA50</f>
        <v>0.63</v>
      </c>
      <c r="R50" s="64"/>
      <c r="S50" s="48"/>
      <c r="T50" s="69">
        <f>성적입력!D$5/계산도구!X50</f>
        <v>0.92</v>
      </c>
      <c r="U50" s="24">
        <f>성적입력!E$5/계산도구!Y50</f>
        <v>0.96</v>
      </c>
      <c r="V50" s="34">
        <f>성적입력!F$5/계산도구!Z50</f>
        <v>0.73</v>
      </c>
      <c r="W50" s="74"/>
      <c r="X50" s="59">
        <v>100</v>
      </c>
      <c r="Y50" s="20">
        <v>100</v>
      </c>
      <c r="Z50" s="20">
        <v>100</v>
      </c>
      <c r="AA50" s="20">
        <v>100</v>
      </c>
      <c r="AB50" s="79"/>
      <c r="AC50" s="48"/>
      <c r="AD50" s="896"/>
      <c r="AE50" s="1024">
        <v>0.5</v>
      </c>
      <c r="AF50" s="1024">
        <v>0.3</v>
      </c>
      <c r="AG50" s="1243">
        <v>0.2</v>
      </c>
      <c r="AH50" s="1326" t="s">
        <v>734</v>
      </c>
      <c r="AI50" s="1326" t="s">
        <v>735</v>
      </c>
      <c r="AJ50" s="48"/>
      <c r="AK50" s="59"/>
      <c r="BD50" s="59"/>
      <c r="BF50" s="913"/>
      <c r="BG50" s="59"/>
    </row>
    <row r="51" spans="1:59" s="16" customFormat="1">
      <c r="A51" s="1102" t="s">
        <v>338</v>
      </c>
      <c r="B51" s="211" t="s">
        <v>445</v>
      </c>
      <c r="C51" s="452">
        <v>500</v>
      </c>
      <c r="D51" s="428">
        <f>T51*I51</f>
        <v>184</v>
      </c>
      <c r="E51" s="191">
        <f>U51*J51</f>
        <v>0</v>
      </c>
      <c r="F51" s="191">
        <f t="shared" si="29"/>
        <v>146</v>
      </c>
      <c r="G51" s="192">
        <f t="shared" si="31"/>
        <v>97.5</v>
      </c>
      <c r="H51" s="49"/>
      <c r="I51" s="40">
        <f t="shared" si="24"/>
        <v>200</v>
      </c>
      <c r="J51" s="28">
        <f t="shared" si="25"/>
        <v>0</v>
      </c>
      <c r="K51" s="28">
        <f t="shared" si="26"/>
        <v>200</v>
      </c>
      <c r="L51" s="175">
        <f t="shared" si="27"/>
        <v>100</v>
      </c>
      <c r="M51" s="478">
        <f t="shared" si="30"/>
        <v>0.97499999999999998</v>
      </c>
      <c r="N51" s="40">
        <f>성적입력!G$5/계산도구!$AA51</f>
        <v>0.98</v>
      </c>
      <c r="O51" s="28">
        <f>성적입력!H$5/계산도구!$AA51</f>
        <v>0.97</v>
      </c>
      <c r="P51" s="397">
        <f>성적입력!I$5/계산도구!$AA51</f>
        <v>0.88</v>
      </c>
      <c r="Q51" s="397">
        <f>성적입력!J$5/계산도구!$AA51</f>
        <v>0.63</v>
      </c>
      <c r="R51" s="65"/>
      <c r="S51" s="49"/>
      <c r="T51" s="70">
        <f>성적입력!D$5/계산도구!X51</f>
        <v>0.92</v>
      </c>
      <c r="U51" s="27">
        <f>성적입력!E$5/계산도구!Y51</f>
        <v>0.96</v>
      </c>
      <c r="V51" s="35">
        <f>성적입력!F$5/계산도구!Z51</f>
        <v>0.73</v>
      </c>
      <c r="W51" s="75"/>
      <c r="X51" s="60">
        <v>100</v>
      </c>
      <c r="Y51" s="16">
        <v>100</v>
      </c>
      <c r="Z51" s="16">
        <v>100</v>
      </c>
      <c r="AA51" s="16">
        <v>100</v>
      </c>
      <c r="AB51" s="51"/>
      <c r="AC51" s="49"/>
      <c r="AD51" s="573">
        <v>0.4</v>
      </c>
      <c r="AE51" s="574"/>
      <c r="AF51" s="574">
        <v>0.4</v>
      </c>
      <c r="AG51" s="575">
        <v>0.2</v>
      </c>
      <c r="AH51" s="1336"/>
      <c r="AI51" s="1336"/>
      <c r="AJ51" s="49"/>
      <c r="AK51" s="60"/>
      <c r="BD51" s="60"/>
      <c r="BF51" s="929"/>
      <c r="BG51" s="60"/>
    </row>
    <row r="52" spans="1:59" s="16" customFormat="1">
      <c r="A52" s="1102" t="s">
        <v>339</v>
      </c>
      <c r="B52" s="211" t="s">
        <v>448</v>
      </c>
      <c r="C52" s="452">
        <v>500</v>
      </c>
      <c r="D52" s="191">
        <f>LARGE($T52:$U52,1)*I52</f>
        <v>192</v>
      </c>
      <c r="E52" s="191"/>
      <c r="F52" s="191">
        <f t="shared" si="29"/>
        <v>146</v>
      </c>
      <c r="G52" s="192">
        <f t="shared" si="31"/>
        <v>97.5</v>
      </c>
      <c r="H52" s="49"/>
      <c r="I52" s="40">
        <f t="shared" si="24"/>
        <v>200</v>
      </c>
      <c r="J52" s="28">
        <f t="shared" si="25"/>
        <v>200</v>
      </c>
      <c r="K52" s="28">
        <f t="shared" si="26"/>
        <v>200</v>
      </c>
      <c r="L52" s="175">
        <f t="shared" si="27"/>
        <v>100</v>
      </c>
      <c r="M52" s="478">
        <f t="shared" si="30"/>
        <v>0.97499999999999998</v>
      </c>
      <c r="N52" s="40">
        <f>성적입력!G$5/계산도구!$AA52</f>
        <v>0.98</v>
      </c>
      <c r="O52" s="28">
        <f>성적입력!H$5/계산도구!$AA52</f>
        <v>0.97</v>
      </c>
      <c r="P52" s="397">
        <f>성적입력!I$5/계산도구!$AA52</f>
        <v>0.88</v>
      </c>
      <c r="Q52" s="397">
        <f>성적입력!J$5/계산도구!$AA52</f>
        <v>0.63</v>
      </c>
      <c r="R52" s="65"/>
      <c r="S52" s="49"/>
      <c r="T52" s="70">
        <f>성적입력!D$5/계산도구!X52</f>
        <v>0.92</v>
      </c>
      <c r="U52" s="27">
        <f>성적입력!E$5/계산도구!Y52</f>
        <v>0.96</v>
      </c>
      <c r="V52" s="35">
        <f>성적입력!F$5/계산도구!Z52</f>
        <v>0.73</v>
      </c>
      <c r="W52" s="75"/>
      <c r="X52" s="60">
        <v>100</v>
      </c>
      <c r="Y52" s="16">
        <v>100</v>
      </c>
      <c r="Z52" s="16">
        <v>100</v>
      </c>
      <c r="AA52" s="16">
        <v>100</v>
      </c>
      <c r="AB52" s="51"/>
      <c r="AC52" s="49"/>
      <c r="AD52" s="573">
        <v>0.4</v>
      </c>
      <c r="AE52" s="574">
        <v>0.4</v>
      </c>
      <c r="AF52" s="574">
        <v>0.4</v>
      </c>
      <c r="AG52" s="575">
        <v>0.2</v>
      </c>
      <c r="AH52" s="1336"/>
      <c r="AI52" s="1336"/>
      <c r="AJ52" s="49"/>
      <c r="AK52" s="60"/>
      <c r="BD52" s="60"/>
      <c r="BF52" s="929"/>
      <c r="BG52" s="60"/>
    </row>
    <row r="53" spans="1:59" s="10" customFormat="1">
      <c r="A53" s="1103" t="s">
        <v>340</v>
      </c>
      <c r="B53" s="208" t="s">
        <v>182</v>
      </c>
      <c r="C53" s="444">
        <v>500</v>
      </c>
      <c r="D53" s="420">
        <f t="shared" ref="D53:D59" si="32">T53*I53</f>
        <v>184</v>
      </c>
      <c r="E53" s="184">
        <f t="shared" ref="E53:E59" si="33">U53*J53</f>
        <v>0</v>
      </c>
      <c r="F53" s="184">
        <f t="shared" ref="F53:F59" si="34">V53*K53</f>
        <v>219</v>
      </c>
      <c r="G53" s="185">
        <f t="shared" si="31"/>
        <v>0</v>
      </c>
      <c r="H53" s="47"/>
      <c r="I53" s="38">
        <f t="shared" ref="I53:I59" si="35">AD53*$C53</f>
        <v>200</v>
      </c>
      <c r="J53" s="12">
        <f t="shared" ref="J53:J59" si="36">AE53*$C53</f>
        <v>0</v>
      </c>
      <c r="K53" s="12">
        <f t="shared" ref="K53:K59" si="37">AF53*$C53</f>
        <v>300</v>
      </c>
      <c r="L53" s="172">
        <f t="shared" ref="L53:L59" si="38">AG53*$C53</f>
        <v>0</v>
      </c>
      <c r="M53" s="473">
        <f t="shared" si="30"/>
        <v>0.97499999999999998</v>
      </c>
      <c r="N53" s="38">
        <f>성적입력!G$5/계산도구!$AA53</f>
        <v>0.98</v>
      </c>
      <c r="O53" s="12">
        <f>성적입력!H$5/계산도구!$AA53</f>
        <v>0.97</v>
      </c>
      <c r="P53" s="13">
        <f>성적입력!I$5/계산도구!$AA53</f>
        <v>0.88</v>
      </c>
      <c r="Q53" s="13">
        <f>성적입력!J$5/계산도구!$AA53</f>
        <v>0.63</v>
      </c>
      <c r="R53" s="63"/>
      <c r="S53" s="47"/>
      <c r="T53" s="68">
        <f>성적입력!D$5/계산도구!X53</f>
        <v>0.92</v>
      </c>
      <c r="U53" s="11">
        <f>성적입력!E$5/계산도구!Y53</f>
        <v>0.96</v>
      </c>
      <c r="V53" s="33">
        <f>성적입력!F$5/계산도구!Z53</f>
        <v>0.73</v>
      </c>
      <c r="W53" s="73"/>
      <c r="X53" s="58">
        <v>100</v>
      </c>
      <c r="Y53" s="10">
        <v>100</v>
      </c>
      <c r="Z53" s="10">
        <v>100</v>
      </c>
      <c r="AA53" s="10">
        <v>100</v>
      </c>
      <c r="AB53" s="78"/>
      <c r="AC53" s="47"/>
      <c r="AD53" s="549">
        <v>0.4</v>
      </c>
      <c r="AE53" s="550"/>
      <c r="AF53" s="550">
        <v>0.6</v>
      </c>
      <c r="AG53" s="551"/>
      <c r="AH53" s="1325"/>
      <c r="AI53" s="1325"/>
      <c r="AJ53" s="47"/>
      <c r="AK53" s="58"/>
      <c r="BD53" s="58"/>
      <c r="BF53" s="927"/>
      <c r="BG53" s="58"/>
    </row>
    <row r="54" spans="1:59" s="15" customFormat="1">
      <c r="A54" s="1110" t="s">
        <v>446</v>
      </c>
      <c r="B54" s="212" t="s">
        <v>183</v>
      </c>
      <c r="C54" s="453">
        <v>500</v>
      </c>
      <c r="D54" s="429">
        <f t="shared" si="32"/>
        <v>230</v>
      </c>
      <c r="E54" s="193">
        <f t="shared" si="33"/>
        <v>0</v>
      </c>
      <c r="F54" s="193">
        <f t="shared" si="34"/>
        <v>182.5</v>
      </c>
      <c r="G54" s="194">
        <f t="shared" si="31"/>
        <v>0</v>
      </c>
      <c r="H54" s="50"/>
      <c r="I54" s="41">
        <f t="shared" si="35"/>
        <v>250</v>
      </c>
      <c r="J54" s="30">
        <f t="shared" si="36"/>
        <v>0</v>
      </c>
      <c r="K54" s="30">
        <f t="shared" si="37"/>
        <v>250</v>
      </c>
      <c r="L54" s="176">
        <f t="shared" si="38"/>
        <v>0</v>
      </c>
      <c r="M54" s="479">
        <f t="shared" si="30"/>
        <v>0.97499999999999998</v>
      </c>
      <c r="N54" s="41">
        <f>성적입력!G$5/계산도구!$AA54</f>
        <v>0.98</v>
      </c>
      <c r="O54" s="30">
        <f>성적입력!H$5/계산도구!$AA54</f>
        <v>0.97</v>
      </c>
      <c r="P54" s="31">
        <f>성적입력!I$5/계산도구!$AA54</f>
        <v>0.88</v>
      </c>
      <c r="Q54" s="31">
        <f>성적입력!J$5/계산도구!$AA54</f>
        <v>0.63</v>
      </c>
      <c r="R54" s="66"/>
      <c r="S54" s="50"/>
      <c r="T54" s="71">
        <f>성적입력!D$5/계산도구!X54</f>
        <v>0.92</v>
      </c>
      <c r="U54" s="29">
        <f>성적입력!E$5/계산도구!Y54</f>
        <v>0.96</v>
      </c>
      <c r="V54" s="36">
        <f>성적입력!F$5/계산도구!Z54</f>
        <v>0.73</v>
      </c>
      <c r="W54" s="76"/>
      <c r="X54" s="61">
        <v>100</v>
      </c>
      <c r="Y54" s="15">
        <v>100</v>
      </c>
      <c r="Z54" s="15">
        <v>100</v>
      </c>
      <c r="AA54" s="15">
        <v>100</v>
      </c>
      <c r="AB54" s="52"/>
      <c r="AC54" s="50"/>
      <c r="AD54" s="576">
        <v>0.5</v>
      </c>
      <c r="AE54" s="577"/>
      <c r="AF54" s="577">
        <v>0.5</v>
      </c>
      <c r="AG54" s="578"/>
      <c r="AH54" s="1341"/>
      <c r="AI54" s="1341"/>
      <c r="AJ54" s="50"/>
      <c r="AK54" s="61"/>
      <c r="BD54" s="61"/>
      <c r="BF54" s="936"/>
      <c r="BG54" s="61"/>
    </row>
    <row r="55" spans="1:59" s="15" customFormat="1" ht="14.25" thickBot="1">
      <c r="A55" s="1110" t="s">
        <v>447</v>
      </c>
      <c r="B55" s="212" t="s">
        <v>222</v>
      </c>
      <c r="C55" s="453">
        <v>500</v>
      </c>
      <c r="D55" s="429">
        <f>T55*I55</f>
        <v>0</v>
      </c>
      <c r="E55" s="193">
        <f>U55*J55</f>
        <v>192</v>
      </c>
      <c r="F55" s="193">
        <f>V55*K55</f>
        <v>146</v>
      </c>
      <c r="G55" s="194">
        <f t="shared" si="31"/>
        <v>97.5</v>
      </c>
      <c r="H55" s="50"/>
      <c r="I55" s="41">
        <f>AD55*$C55</f>
        <v>0</v>
      </c>
      <c r="J55" s="30">
        <f>AE55*$C55</f>
        <v>200</v>
      </c>
      <c r="K55" s="30">
        <f>AF55*$C55</f>
        <v>200</v>
      </c>
      <c r="L55" s="176">
        <f>AG55*$C55</f>
        <v>100</v>
      </c>
      <c r="M55" s="479">
        <f t="shared" si="30"/>
        <v>0.97499999999999998</v>
      </c>
      <c r="N55" s="41">
        <f>성적입력!G$5/계산도구!$AA55</f>
        <v>0.98</v>
      </c>
      <c r="O55" s="30">
        <f>성적입력!H$5/계산도구!$AA55</f>
        <v>0.97</v>
      </c>
      <c r="P55" s="31">
        <f>성적입력!I$5/계산도구!$AA55</f>
        <v>0.88</v>
      </c>
      <c r="Q55" s="31">
        <f>성적입력!J$5/계산도구!$AA55</f>
        <v>0.63</v>
      </c>
      <c r="R55" s="66"/>
      <c r="S55" s="50"/>
      <c r="T55" s="71">
        <f>성적입력!D$5/계산도구!X55</f>
        <v>0.92</v>
      </c>
      <c r="U55" s="29">
        <f>성적입력!E$5/계산도구!Y55</f>
        <v>0.96</v>
      </c>
      <c r="V55" s="36">
        <f>성적입력!F$5/계산도구!Z55</f>
        <v>0.73</v>
      </c>
      <c r="W55" s="76"/>
      <c r="X55" s="61">
        <v>100</v>
      </c>
      <c r="Y55" s="15">
        <v>100</v>
      </c>
      <c r="Z55" s="15">
        <v>100</v>
      </c>
      <c r="AA55" s="15">
        <v>100</v>
      </c>
      <c r="AB55" s="52"/>
      <c r="AC55" s="50"/>
      <c r="AD55" s="576"/>
      <c r="AE55" s="577">
        <v>0.4</v>
      </c>
      <c r="AF55" s="577">
        <v>0.4</v>
      </c>
      <c r="AG55" s="578">
        <v>0.2</v>
      </c>
      <c r="AH55" s="1341"/>
      <c r="AI55" s="1341"/>
      <c r="AJ55" s="50"/>
      <c r="AK55" s="61"/>
      <c r="BD55" s="61"/>
      <c r="BF55" s="936"/>
      <c r="BG55" s="61"/>
    </row>
    <row r="56" spans="1:59" s="830" customFormat="1">
      <c r="A56" s="1108" t="s">
        <v>341</v>
      </c>
      <c r="B56" s="815" t="s">
        <v>184</v>
      </c>
      <c r="C56" s="1020">
        <v>800</v>
      </c>
      <c r="D56" s="816">
        <f t="shared" si="32"/>
        <v>150</v>
      </c>
      <c r="E56" s="817">
        <f t="shared" si="33"/>
        <v>111.19999999999999</v>
      </c>
      <c r="F56" s="817">
        <f t="shared" si="34"/>
        <v>184</v>
      </c>
      <c r="G56" s="818">
        <f t="shared" si="31"/>
        <v>53.6</v>
      </c>
      <c r="H56" s="819"/>
      <c r="I56" s="820">
        <f t="shared" si="35"/>
        <v>240</v>
      </c>
      <c r="J56" s="821">
        <f t="shared" si="36"/>
        <v>160</v>
      </c>
      <c r="K56" s="821">
        <f t="shared" si="37"/>
        <v>320</v>
      </c>
      <c r="L56" s="822">
        <f t="shared" si="38"/>
        <v>80</v>
      </c>
      <c r="M56" s="823">
        <f t="shared" si="30"/>
        <v>0.67</v>
      </c>
      <c r="N56" s="820">
        <f>성적입력!G$4/$AA56</f>
        <v>0.68</v>
      </c>
      <c r="O56" s="821">
        <f>성적입력!H$4/$AA56</f>
        <v>0.66</v>
      </c>
      <c r="P56" s="821">
        <f>성적입력!I$4/$AA56</f>
        <v>0.62</v>
      </c>
      <c r="Q56" s="821">
        <f>성적입력!J$4/$AA56</f>
        <v>0.55000000000000004</v>
      </c>
      <c r="R56" s="824"/>
      <c r="S56" s="819"/>
      <c r="T56" s="825">
        <f>성적입력!D$4/계산도구!X56</f>
        <v>0.625</v>
      </c>
      <c r="U56" s="826">
        <f>성적입력!E$4/계산도구!Y56</f>
        <v>0.69499999999999995</v>
      </c>
      <c r="V56" s="827">
        <f>성적입력!F$4/계산도구!Z56</f>
        <v>0.57499999999999996</v>
      </c>
      <c r="W56" s="828"/>
      <c r="X56" s="829">
        <v>200</v>
      </c>
      <c r="Y56" s="830">
        <v>200</v>
      </c>
      <c r="Z56" s="830">
        <v>200</v>
      </c>
      <c r="AA56" s="830">
        <v>100</v>
      </c>
      <c r="AB56" s="831"/>
      <c r="AC56" s="819"/>
      <c r="AD56" s="832">
        <v>0.3</v>
      </c>
      <c r="AE56" s="833">
        <v>0.2</v>
      </c>
      <c r="AF56" s="833">
        <v>0.4</v>
      </c>
      <c r="AG56" s="834">
        <v>0.1</v>
      </c>
      <c r="AH56" s="1342"/>
      <c r="AI56" s="1342"/>
      <c r="AJ56" s="819"/>
      <c r="AK56" s="829"/>
      <c r="BD56" s="829"/>
      <c r="BF56" s="933"/>
      <c r="BG56" s="829"/>
    </row>
    <row r="57" spans="1:59" s="240" customFormat="1">
      <c r="A57" s="1112" t="s">
        <v>342</v>
      </c>
      <c r="B57" s="835" t="s">
        <v>185</v>
      </c>
      <c r="C57" s="1021">
        <v>800</v>
      </c>
      <c r="D57" s="433">
        <f t="shared" si="32"/>
        <v>150</v>
      </c>
      <c r="E57" s="229">
        <f t="shared" si="33"/>
        <v>166.79999999999998</v>
      </c>
      <c r="F57" s="229">
        <f t="shared" si="34"/>
        <v>138</v>
      </c>
      <c r="G57" s="230">
        <f t="shared" si="31"/>
        <v>53.6</v>
      </c>
      <c r="H57" s="231"/>
      <c r="I57" s="232">
        <f t="shared" si="35"/>
        <v>240</v>
      </c>
      <c r="J57" s="233">
        <f t="shared" si="36"/>
        <v>240</v>
      </c>
      <c r="K57" s="233">
        <f t="shared" si="37"/>
        <v>240</v>
      </c>
      <c r="L57" s="242">
        <f t="shared" si="38"/>
        <v>80</v>
      </c>
      <c r="M57" s="482">
        <f t="shared" si="30"/>
        <v>0.67</v>
      </c>
      <c r="N57" s="232">
        <f>성적입력!G$4/$AA57</f>
        <v>0.68</v>
      </c>
      <c r="O57" s="233">
        <f>성적입력!H$4/$AA57</f>
        <v>0.66</v>
      </c>
      <c r="P57" s="233">
        <f>성적입력!I$4/$AA57</f>
        <v>0.62</v>
      </c>
      <c r="Q57" s="233">
        <f>성적입력!J$4/$AA57</f>
        <v>0.55000000000000004</v>
      </c>
      <c r="R57" s="234"/>
      <c r="S57" s="231"/>
      <c r="T57" s="235">
        <f>성적입력!D$4/계산도구!X57</f>
        <v>0.625</v>
      </c>
      <c r="U57" s="236">
        <f>성적입력!E$4/계산도구!Y57</f>
        <v>0.69499999999999995</v>
      </c>
      <c r="V57" s="237">
        <f>성적입력!F$4/계산도구!Z57</f>
        <v>0.57499999999999996</v>
      </c>
      <c r="W57" s="238"/>
      <c r="X57" s="239">
        <v>200</v>
      </c>
      <c r="Y57" s="240">
        <v>200</v>
      </c>
      <c r="Z57" s="240">
        <v>200</v>
      </c>
      <c r="AA57" s="240">
        <v>100</v>
      </c>
      <c r="AB57" s="241"/>
      <c r="AC57" s="231"/>
      <c r="AD57" s="587">
        <v>0.3</v>
      </c>
      <c r="AE57" s="588">
        <v>0.3</v>
      </c>
      <c r="AF57" s="588">
        <v>0.3</v>
      </c>
      <c r="AG57" s="589">
        <v>0.1</v>
      </c>
      <c r="AH57" s="1343"/>
      <c r="AI57" s="1343"/>
      <c r="AJ57" s="231"/>
      <c r="AK57" s="239"/>
      <c r="BD57" s="239"/>
      <c r="BF57" s="937"/>
      <c r="BG57" s="239"/>
    </row>
    <row r="58" spans="1:59" s="240" customFormat="1">
      <c r="A58" s="1112" t="s">
        <v>343</v>
      </c>
      <c r="B58" s="835" t="s">
        <v>186</v>
      </c>
      <c r="C58" s="1021">
        <v>800</v>
      </c>
      <c r="D58" s="433">
        <f t="shared" si="32"/>
        <v>200</v>
      </c>
      <c r="E58" s="229">
        <f t="shared" si="33"/>
        <v>111.19999999999999</v>
      </c>
      <c r="F58" s="229">
        <f t="shared" si="34"/>
        <v>92</v>
      </c>
      <c r="G58" s="230">
        <f t="shared" si="31"/>
        <v>107.2</v>
      </c>
      <c r="H58" s="231"/>
      <c r="I58" s="232">
        <f t="shared" si="35"/>
        <v>320</v>
      </c>
      <c r="J58" s="233">
        <f t="shared" si="36"/>
        <v>160</v>
      </c>
      <c r="K58" s="233">
        <f t="shared" si="37"/>
        <v>160</v>
      </c>
      <c r="L58" s="242">
        <f t="shared" si="38"/>
        <v>160</v>
      </c>
      <c r="M58" s="482">
        <f t="shared" si="30"/>
        <v>0.67</v>
      </c>
      <c r="N58" s="232">
        <f>성적입력!G$4/$AA58</f>
        <v>0.68</v>
      </c>
      <c r="O58" s="233">
        <f>성적입력!H$4/$AA58</f>
        <v>0.66</v>
      </c>
      <c r="P58" s="233">
        <f>성적입력!I$4/$AA58</f>
        <v>0.62</v>
      </c>
      <c r="Q58" s="233">
        <f>성적입력!J$4/$AA58</f>
        <v>0.55000000000000004</v>
      </c>
      <c r="R58" s="234"/>
      <c r="S58" s="231"/>
      <c r="T58" s="235">
        <f>성적입력!D$4/계산도구!X58</f>
        <v>0.625</v>
      </c>
      <c r="U58" s="236">
        <f>성적입력!E$4/계산도구!Y58</f>
        <v>0.69499999999999995</v>
      </c>
      <c r="V58" s="237">
        <f>성적입력!F$4/계산도구!Z58</f>
        <v>0.57499999999999996</v>
      </c>
      <c r="W58" s="238"/>
      <c r="X58" s="239">
        <v>200</v>
      </c>
      <c r="Y58" s="240">
        <v>200</v>
      </c>
      <c r="Z58" s="240">
        <v>200</v>
      </c>
      <c r="AA58" s="240">
        <v>100</v>
      </c>
      <c r="AB58" s="241"/>
      <c r="AC58" s="231"/>
      <c r="AD58" s="587">
        <v>0.4</v>
      </c>
      <c r="AE58" s="588">
        <v>0.2</v>
      </c>
      <c r="AF58" s="588">
        <v>0.2</v>
      </c>
      <c r="AG58" s="589">
        <v>0.2</v>
      </c>
      <c r="AH58" s="1343"/>
      <c r="AI58" s="1343"/>
      <c r="AJ58" s="231"/>
      <c r="AK58" s="239"/>
      <c r="BD58" s="239"/>
      <c r="BF58" s="937"/>
      <c r="BG58" s="239"/>
    </row>
    <row r="59" spans="1:59" s="240" customFormat="1">
      <c r="A59" s="1112" t="s">
        <v>344</v>
      </c>
      <c r="B59" s="835" t="s">
        <v>293</v>
      </c>
      <c r="C59" s="1021">
        <v>800</v>
      </c>
      <c r="D59" s="433">
        <f t="shared" si="32"/>
        <v>150</v>
      </c>
      <c r="E59" s="229">
        <f t="shared" si="33"/>
        <v>111.19999999999999</v>
      </c>
      <c r="F59" s="229">
        <f t="shared" si="34"/>
        <v>138</v>
      </c>
      <c r="G59" s="230">
        <f t="shared" si="31"/>
        <v>107.2</v>
      </c>
      <c r="H59" s="231"/>
      <c r="I59" s="232">
        <f t="shared" si="35"/>
        <v>240</v>
      </c>
      <c r="J59" s="233">
        <f t="shared" si="36"/>
        <v>160</v>
      </c>
      <c r="K59" s="233">
        <f t="shared" si="37"/>
        <v>240</v>
      </c>
      <c r="L59" s="242">
        <f t="shared" si="38"/>
        <v>160</v>
      </c>
      <c r="M59" s="482">
        <f t="shared" si="30"/>
        <v>0.67</v>
      </c>
      <c r="N59" s="232">
        <f>성적입력!G$4/$AA59</f>
        <v>0.68</v>
      </c>
      <c r="O59" s="233">
        <f>성적입력!H$4/$AA59</f>
        <v>0.66</v>
      </c>
      <c r="P59" s="233">
        <f>성적입력!I$4/$AA59</f>
        <v>0.62</v>
      </c>
      <c r="Q59" s="233">
        <f>성적입력!J$4/$AA59</f>
        <v>0.55000000000000004</v>
      </c>
      <c r="R59" s="234"/>
      <c r="S59" s="231"/>
      <c r="T59" s="235">
        <f>성적입력!D$4/계산도구!X59</f>
        <v>0.625</v>
      </c>
      <c r="U59" s="236">
        <f>성적입력!E$4/계산도구!Y59</f>
        <v>0.69499999999999995</v>
      </c>
      <c r="V59" s="237">
        <f>성적입력!F$4/계산도구!Z59</f>
        <v>0.57499999999999996</v>
      </c>
      <c r="W59" s="238"/>
      <c r="X59" s="239">
        <v>200</v>
      </c>
      <c r="Y59" s="240">
        <v>200</v>
      </c>
      <c r="Z59" s="240">
        <v>200</v>
      </c>
      <c r="AA59" s="240">
        <v>100</v>
      </c>
      <c r="AB59" s="241"/>
      <c r="AC59" s="231"/>
      <c r="AD59" s="587">
        <v>0.3</v>
      </c>
      <c r="AE59" s="588">
        <v>0.2</v>
      </c>
      <c r="AF59" s="588">
        <v>0.3</v>
      </c>
      <c r="AG59" s="589">
        <v>0.2</v>
      </c>
      <c r="AH59" s="1343"/>
      <c r="AI59" s="1343"/>
      <c r="AJ59" s="231"/>
      <c r="AK59" s="239"/>
      <c r="BD59" s="239"/>
      <c r="BF59" s="937"/>
      <c r="BG59" s="239"/>
    </row>
    <row r="60" spans="1:59" s="811" customFormat="1" ht="14.25" thickBot="1">
      <c r="A60" s="1109" t="s">
        <v>345</v>
      </c>
      <c r="B60" s="795" t="s">
        <v>292</v>
      </c>
      <c r="C60" s="1022">
        <v>800</v>
      </c>
      <c r="D60" s="797">
        <f t="shared" ref="D60:D66" si="39">T60*I60</f>
        <v>50</v>
      </c>
      <c r="E60" s="798">
        <f t="shared" ref="E60:E65" si="40">U60*J60</f>
        <v>222.39999999999998</v>
      </c>
      <c r="F60" s="798">
        <f t="shared" ref="F60:F66" si="41">V60*K60</f>
        <v>138</v>
      </c>
      <c r="G60" s="799">
        <f t="shared" si="31"/>
        <v>107.2</v>
      </c>
      <c r="H60" s="800"/>
      <c r="I60" s="801">
        <f t="shared" ref="I60:I66" si="42">AD60*$C60</f>
        <v>80</v>
      </c>
      <c r="J60" s="802">
        <f t="shared" ref="J60:J66" si="43">AE60*$C60</f>
        <v>320</v>
      </c>
      <c r="K60" s="802">
        <f t="shared" ref="K60:K66" si="44">AF60*$C60</f>
        <v>240</v>
      </c>
      <c r="L60" s="803">
        <f t="shared" ref="L60:L66" si="45">AG60*$C60</f>
        <v>160</v>
      </c>
      <c r="M60" s="804">
        <f t="shared" si="30"/>
        <v>0.67</v>
      </c>
      <c r="N60" s="801">
        <f>성적입력!G$4/$AA60</f>
        <v>0.68</v>
      </c>
      <c r="O60" s="802">
        <f>성적입력!H$4/$AA60</f>
        <v>0.66</v>
      </c>
      <c r="P60" s="802">
        <f>성적입력!I$4/$AA60</f>
        <v>0.62</v>
      </c>
      <c r="Q60" s="802">
        <f>성적입력!J$4/$AA60</f>
        <v>0.55000000000000004</v>
      </c>
      <c r="R60" s="805"/>
      <c r="S60" s="800"/>
      <c r="T60" s="806">
        <f>성적입력!D$4/계산도구!X60</f>
        <v>0.625</v>
      </c>
      <c r="U60" s="807">
        <f>성적입력!E$4/계산도구!Y60</f>
        <v>0.69499999999999995</v>
      </c>
      <c r="V60" s="808">
        <f>성적입력!F$4/계산도구!Z60</f>
        <v>0.57499999999999996</v>
      </c>
      <c r="W60" s="809"/>
      <c r="X60" s="810">
        <v>200</v>
      </c>
      <c r="Y60" s="811">
        <v>200</v>
      </c>
      <c r="Z60" s="811">
        <v>200</v>
      </c>
      <c r="AA60" s="811">
        <v>100</v>
      </c>
      <c r="AB60" s="812"/>
      <c r="AC60" s="800"/>
      <c r="AD60" s="813">
        <v>0.1</v>
      </c>
      <c r="AE60" s="836">
        <v>0.4</v>
      </c>
      <c r="AF60" s="836">
        <v>0.3</v>
      </c>
      <c r="AG60" s="814">
        <v>0.2</v>
      </c>
      <c r="AH60" s="1344"/>
      <c r="AI60" s="1344"/>
      <c r="AJ60" s="800"/>
      <c r="AK60" s="810"/>
      <c r="BD60" s="810"/>
      <c r="BF60" s="934"/>
      <c r="BG60" s="810"/>
    </row>
    <row r="61" spans="1:59" s="404" customFormat="1">
      <c r="A61" s="1113" t="s">
        <v>346</v>
      </c>
      <c r="B61" s="412" t="s">
        <v>179</v>
      </c>
      <c r="C61" s="837">
        <v>900</v>
      </c>
      <c r="D61" s="436">
        <f t="shared" si="39"/>
        <v>168.75</v>
      </c>
      <c r="E61" s="405">
        <f t="shared" si="40"/>
        <v>125.1</v>
      </c>
      <c r="F61" s="405">
        <f t="shared" si="41"/>
        <v>155.25</v>
      </c>
      <c r="G61" s="462">
        <f t="shared" si="31"/>
        <v>120.60000000000001</v>
      </c>
      <c r="H61" s="468"/>
      <c r="I61" s="465">
        <f t="shared" si="42"/>
        <v>270</v>
      </c>
      <c r="J61" s="406">
        <f t="shared" si="43"/>
        <v>180</v>
      </c>
      <c r="K61" s="406">
        <f t="shared" si="44"/>
        <v>270</v>
      </c>
      <c r="L61" s="470">
        <f t="shared" si="45"/>
        <v>180</v>
      </c>
      <c r="M61" s="485">
        <f>((LARGE(N61:R61,1)+LARGE(N61:R61,2)))/2</f>
        <v>0.67</v>
      </c>
      <c r="N61" s="465">
        <f>성적입력!G$4/$AA61</f>
        <v>0.68</v>
      </c>
      <c r="O61" s="406">
        <f>성적입력!H$4/$AA61</f>
        <v>0.66</v>
      </c>
      <c r="P61" s="406">
        <f>성적입력!I$4/$AA61</f>
        <v>0.62</v>
      </c>
      <c r="Q61" s="406">
        <f>성적입력!J$4/$AA61</f>
        <v>0.55000000000000004</v>
      </c>
      <c r="R61" s="490"/>
      <c r="S61" s="468"/>
      <c r="T61" s="494">
        <f>성적입력!D$4/계산도구!X61</f>
        <v>0.625</v>
      </c>
      <c r="U61" s="407">
        <f>성적입력!E$4/계산도구!Y61</f>
        <v>0.69499999999999995</v>
      </c>
      <c r="V61" s="496">
        <f>성적입력!F$4/계산도구!Z61</f>
        <v>0.57499999999999996</v>
      </c>
      <c r="W61" s="500"/>
      <c r="X61" s="498">
        <v>200</v>
      </c>
      <c r="Y61" s="404">
        <v>200</v>
      </c>
      <c r="Z61" s="404">
        <v>200</v>
      </c>
      <c r="AA61" s="404">
        <v>100</v>
      </c>
      <c r="AB61" s="409"/>
      <c r="AC61" s="468"/>
      <c r="AD61" s="838">
        <v>0.3</v>
      </c>
      <c r="AE61" s="839">
        <v>0.2</v>
      </c>
      <c r="AF61" s="839">
        <v>0.3</v>
      </c>
      <c r="AG61" s="840">
        <v>0.2</v>
      </c>
      <c r="AH61" s="1345"/>
      <c r="AI61" s="1345"/>
      <c r="AJ61" s="468"/>
      <c r="AK61" s="498"/>
      <c r="BD61" s="498"/>
      <c r="BF61" s="938"/>
      <c r="BG61" s="498"/>
    </row>
    <row r="62" spans="1:59" s="856" customFormat="1" ht="14.25" thickBot="1">
      <c r="A62" s="1114" t="s">
        <v>347</v>
      </c>
      <c r="B62" s="841" t="s">
        <v>243</v>
      </c>
      <c r="C62" s="842">
        <v>900</v>
      </c>
      <c r="D62" s="843">
        <f>T62*I62</f>
        <v>140.625</v>
      </c>
      <c r="E62" s="844">
        <f>U62*J62</f>
        <v>156.375</v>
      </c>
      <c r="F62" s="844">
        <f>V62*K62</f>
        <v>155.25</v>
      </c>
      <c r="G62" s="845">
        <f t="shared" si="31"/>
        <v>120.60000000000001</v>
      </c>
      <c r="H62" s="841"/>
      <c r="I62" s="846">
        <f>AD62*$C62</f>
        <v>225</v>
      </c>
      <c r="J62" s="847">
        <f>AE62*$C62</f>
        <v>225</v>
      </c>
      <c r="K62" s="847">
        <f>AF62*$C62</f>
        <v>270</v>
      </c>
      <c r="L62" s="848">
        <f>AG62*$C62</f>
        <v>180</v>
      </c>
      <c r="M62" s="849">
        <f>((LARGE(N62:R62,1)+LARGE(N62:R62,2)))/2</f>
        <v>0.67</v>
      </c>
      <c r="N62" s="846">
        <f>성적입력!G$4/$AA62</f>
        <v>0.68</v>
      </c>
      <c r="O62" s="847">
        <f>성적입력!H$4/$AA62</f>
        <v>0.66</v>
      </c>
      <c r="P62" s="847">
        <f>성적입력!I$4/$AA62</f>
        <v>0.62</v>
      </c>
      <c r="Q62" s="847">
        <f>성적입력!J$4/$AA62</f>
        <v>0.55000000000000004</v>
      </c>
      <c r="R62" s="850"/>
      <c r="S62" s="841"/>
      <c r="T62" s="851">
        <f>성적입력!D$4/계산도구!X62</f>
        <v>0.625</v>
      </c>
      <c r="U62" s="852">
        <f>성적입력!E$4/계산도구!Y62</f>
        <v>0.69499999999999995</v>
      </c>
      <c r="V62" s="853">
        <f>성적입력!F$4/계산도구!Z62</f>
        <v>0.57499999999999996</v>
      </c>
      <c r="W62" s="854"/>
      <c r="X62" s="855">
        <v>200</v>
      </c>
      <c r="Y62" s="856">
        <v>200</v>
      </c>
      <c r="Z62" s="856">
        <v>200</v>
      </c>
      <c r="AA62" s="856">
        <v>100</v>
      </c>
      <c r="AB62" s="857"/>
      <c r="AC62" s="841"/>
      <c r="AD62" s="858">
        <v>0.25</v>
      </c>
      <c r="AE62" s="859">
        <v>0.25</v>
      </c>
      <c r="AF62" s="859">
        <v>0.3</v>
      </c>
      <c r="AG62" s="860">
        <v>0.2</v>
      </c>
      <c r="AH62" s="794"/>
      <c r="AI62" s="794"/>
      <c r="AJ62" s="841"/>
      <c r="AK62" s="855"/>
      <c r="BD62" s="855"/>
      <c r="BF62" s="939"/>
      <c r="BG62" s="855"/>
    </row>
    <row r="63" spans="1:59" s="125" customFormat="1">
      <c r="A63" s="1097" t="s">
        <v>348</v>
      </c>
      <c r="B63" s="270" t="s">
        <v>179</v>
      </c>
      <c r="C63" s="448">
        <v>700</v>
      </c>
      <c r="D63" s="424">
        <f t="shared" si="39"/>
        <v>187.5</v>
      </c>
      <c r="E63" s="258">
        <f t="shared" si="40"/>
        <v>66.19047619047619</v>
      </c>
      <c r="F63" s="258">
        <f t="shared" si="41"/>
        <v>170.07042253521126</v>
      </c>
      <c r="G63" s="271">
        <f t="shared" si="31"/>
        <v>202.43478260869566</v>
      </c>
      <c r="H63" s="128"/>
      <c r="I63" s="203">
        <f t="shared" si="42"/>
        <v>210</v>
      </c>
      <c r="J63" s="259">
        <f t="shared" si="43"/>
        <v>70</v>
      </c>
      <c r="K63" s="259">
        <f t="shared" si="44"/>
        <v>210</v>
      </c>
      <c r="L63" s="276">
        <f t="shared" si="45"/>
        <v>210</v>
      </c>
      <c r="M63" s="475">
        <f>((LARGE(N63:R63,1)+LARGE(N63:R63,2))/2)</f>
        <v>0.96397515527950306</v>
      </c>
      <c r="N63" s="203">
        <f>IF(성적입력!G$3=0,0,성적입력!G$4/HLOOKUP(성적입력!G$3,계산도구!$AN$1:$BZ$3,2,FALSE))</f>
        <v>0.97142857142857142</v>
      </c>
      <c r="O63" s="259">
        <f>IF(성적입력!H$3=0,0,성적입력!H$4/HLOOKUP(성적입력!H$3,계산도구!$AN$1:$BZ$3,2,FALSE))</f>
        <v>0.95652173913043481</v>
      </c>
      <c r="P63" s="260">
        <f>IF(성적입력!I$3=0,0,성적입력!I$4/HLOOKUP(성적입력!I$3,계산도구!$AN$1:$BZ$3,2,FALSE))</f>
        <v>0.81578947368421051</v>
      </c>
      <c r="Q63" s="260">
        <f>IF(성적입력!J$3=0,0,성적입력!J$4/HLOOKUP(성적입력!J$3,계산도구!$AN$1:$BZ$3,2,FALSE))</f>
        <v>0.79710144927536231</v>
      </c>
      <c r="R63" s="272"/>
      <c r="S63" s="128"/>
      <c r="T63" s="273">
        <f>성적입력!D$4/계산도구!X63</f>
        <v>0.8928571428571429</v>
      </c>
      <c r="U63" s="261">
        <f>성적입력!E$4/계산도구!Y63</f>
        <v>0.94557823129251706</v>
      </c>
      <c r="V63" s="274">
        <f>성적입력!F$4/계산도구!Z63</f>
        <v>0.8098591549295775</v>
      </c>
      <c r="W63" s="275"/>
      <c r="X63" s="139">
        <f t="shared" ref="X63:Z65" si="46">AK$2</f>
        <v>140</v>
      </c>
      <c r="Y63" s="125">
        <f t="shared" si="46"/>
        <v>147</v>
      </c>
      <c r="Z63" s="125">
        <f t="shared" si="46"/>
        <v>142</v>
      </c>
      <c r="AB63" s="143"/>
      <c r="AC63" s="128"/>
      <c r="AD63" s="561">
        <v>0.3</v>
      </c>
      <c r="AE63" s="562">
        <v>0.1</v>
      </c>
      <c r="AF63" s="562">
        <v>0.3</v>
      </c>
      <c r="AG63" s="563">
        <v>0.3</v>
      </c>
      <c r="AH63" s="1329"/>
      <c r="AI63" s="1329"/>
      <c r="AJ63" s="128"/>
      <c r="AK63" s="139"/>
      <c r="BD63" s="139"/>
      <c r="BF63" s="147"/>
      <c r="BG63" s="139"/>
    </row>
    <row r="64" spans="1:59" s="121" customFormat="1">
      <c r="A64" s="1115" t="s">
        <v>349</v>
      </c>
      <c r="B64" s="285" t="s">
        <v>187</v>
      </c>
      <c r="C64" s="457">
        <v>700</v>
      </c>
      <c r="D64" s="434">
        <f t="shared" si="39"/>
        <v>187.5</v>
      </c>
      <c r="E64" s="262">
        <f t="shared" si="40"/>
        <v>198.57142857142858</v>
      </c>
      <c r="F64" s="262">
        <f t="shared" si="41"/>
        <v>56.690140845070424</v>
      </c>
      <c r="G64" s="286">
        <f t="shared" si="31"/>
        <v>202.43478260869566</v>
      </c>
      <c r="H64" s="129"/>
      <c r="I64" s="287">
        <f t="shared" si="42"/>
        <v>210</v>
      </c>
      <c r="J64" s="263">
        <f t="shared" si="43"/>
        <v>210</v>
      </c>
      <c r="K64" s="263">
        <f t="shared" si="44"/>
        <v>70</v>
      </c>
      <c r="L64" s="292">
        <f t="shared" si="45"/>
        <v>210</v>
      </c>
      <c r="M64" s="483">
        <f>((LARGE(N64:R64,1)+LARGE(N64:R64,2))/2)</f>
        <v>0.96397515527950306</v>
      </c>
      <c r="N64" s="287">
        <f>IF(성적입력!G$3=0,0,성적입력!G$4/HLOOKUP(성적입력!G$3,계산도구!$AN$1:$BZ$3,2,FALSE))</f>
        <v>0.97142857142857142</v>
      </c>
      <c r="O64" s="263">
        <f>IF(성적입력!H$3=0,0,성적입력!H$4/HLOOKUP(성적입력!H$3,계산도구!$AN$1:$BZ$3,2,FALSE))</f>
        <v>0.95652173913043481</v>
      </c>
      <c r="P64" s="264">
        <f>IF(성적입력!I$3=0,0,성적입력!I$4/HLOOKUP(성적입력!I$3,계산도구!$AN$1:$BZ$3,2,FALSE))</f>
        <v>0.81578947368421051</v>
      </c>
      <c r="Q64" s="264">
        <f>IF(성적입력!J$3=0,0,성적입력!J$4/HLOOKUP(성적입력!J$3,계산도구!$AN$1:$BZ$3,2,FALSE))</f>
        <v>0.79710144927536231</v>
      </c>
      <c r="R64" s="288"/>
      <c r="S64" s="129"/>
      <c r="T64" s="289">
        <f>성적입력!D$4/계산도구!X64</f>
        <v>0.8928571428571429</v>
      </c>
      <c r="U64" s="265">
        <f>성적입력!E$4/계산도구!Y64</f>
        <v>0.94557823129251706</v>
      </c>
      <c r="V64" s="290">
        <f>성적입력!F$4/계산도구!Z64</f>
        <v>0.8098591549295775</v>
      </c>
      <c r="W64" s="291"/>
      <c r="X64" s="140">
        <f t="shared" si="46"/>
        <v>140</v>
      </c>
      <c r="Y64" s="121">
        <f t="shared" si="46"/>
        <v>147</v>
      </c>
      <c r="Z64" s="121">
        <f t="shared" si="46"/>
        <v>142</v>
      </c>
      <c r="AB64" s="144"/>
      <c r="AC64" s="129"/>
      <c r="AD64" s="590">
        <v>0.3</v>
      </c>
      <c r="AE64" s="591">
        <v>0.3</v>
      </c>
      <c r="AF64" s="591">
        <v>0.1</v>
      </c>
      <c r="AG64" s="592">
        <v>0.3</v>
      </c>
      <c r="AH64" s="1346"/>
      <c r="AI64" s="1346"/>
      <c r="AJ64" s="129"/>
      <c r="AK64" s="140"/>
      <c r="BD64" s="140"/>
      <c r="BF64" s="148"/>
      <c r="BG64" s="140"/>
    </row>
    <row r="65" spans="1:59" s="126" customFormat="1" ht="14.25" thickBot="1">
      <c r="A65" s="1099" t="s">
        <v>350</v>
      </c>
      <c r="B65" s="277" t="s">
        <v>188</v>
      </c>
      <c r="C65" s="449">
        <v>700</v>
      </c>
      <c r="D65" s="425">
        <f t="shared" si="39"/>
        <v>187.5</v>
      </c>
      <c r="E65" s="266">
        <f t="shared" si="40"/>
        <v>198.57142857142858</v>
      </c>
      <c r="F65" s="266">
        <f t="shared" si="41"/>
        <v>170.07042253521126</v>
      </c>
      <c r="G65" s="278">
        <f t="shared" si="31"/>
        <v>67.478260869565219</v>
      </c>
      <c r="H65" s="130"/>
      <c r="I65" s="279">
        <f t="shared" si="42"/>
        <v>210</v>
      </c>
      <c r="J65" s="267">
        <f t="shared" si="43"/>
        <v>210</v>
      </c>
      <c r="K65" s="267">
        <f t="shared" si="44"/>
        <v>210</v>
      </c>
      <c r="L65" s="284">
        <f t="shared" si="45"/>
        <v>70</v>
      </c>
      <c r="M65" s="476">
        <f>((LARGE(N65:R65,1)+LARGE(N65:R65,2))/2)</f>
        <v>0.96397515527950306</v>
      </c>
      <c r="N65" s="279">
        <f>IF(성적입력!G$3=0,0,성적입력!G$4/HLOOKUP(성적입력!G$3,계산도구!$AN$1:$BZ$3,2,FALSE))</f>
        <v>0.97142857142857142</v>
      </c>
      <c r="O65" s="267">
        <f>IF(성적입력!H$3=0,0,성적입력!H$4/HLOOKUP(성적입력!H$3,계산도구!$AN$1:$BZ$3,2,FALSE))</f>
        <v>0.95652173913043481</v>
      </c>
      <c r="P65" s="268">
        <f>IF(성적입력!I$3=0,0,성적입력!I$4/HLOOKUP(성적입력!I$3,계산도구!$AN$1:$BZ$3,2,FALSE))</f>
        <v>0.81578947368421051</v>
      </c>
      <c r="Q65" s="268">
        <f>IF(성적입력!J$3=0,0,성적입력!J$4/HLOOKUP(성적입력!J$3,계산도구!$AN$1:$BZ$3,2,FALSE))</f>
        <v>0.79710144927536231</v>
      </c>
      <c r="R65" s="280"/>
      <c r="S65" s="130"/>
      <c r="T65" s="281">
        <f>성적입력!D$4/계산도구!X65</f>
        <v>0.8928571428571429</v>
      </c>
      <c r="U65" s="269">
        <f>성적입력!E$4/계산도구!Y65</f>
        <v>0.94557823129251706</v>
      </c>
      <c r="V65" s="282">
        <f>성적입력!F$4/계산도구!Z65</f>
        <v>0.8098591549295775</v>
      </c>
      <c r="W65" s="283"/>
      <c r="X65" s="141">
        <f t="shared" si="46"/>
        <v>140</v>
      </c>
      <c r="Y65" s="126">
        <f t="shared" si="46"/>
        <v>147</v>
      </c>
      <c r="Z65" s="126">
        <f t="shared" si="46"/>
        <v>142</v>
      </c>
      <c r="AB65" s="145"/>
      <c r="AC65" s="130"/>
      <c r="AD65" s="564">
        <v>0.3</v>
      </c>
      <c r="AE65" s="565">
        <v>0.3</v>
      </c>
      <c r="AF65" s="565">
        <v>0.3</v>
      </c>
      <c r="AG65" s="566">
        <v>0.1</v>
      </c>
      <c r="AH65" s="1331"/>
      <c r="AI65" s="1331"/>
      <c r="AJ65" s="130"/>
      <c r="AK65" s="141"/>
      <c r="BD65" s="141"/>
      <c r="BF65" s="149"/>
      <c r="BG65" s="141"/>
    </row>
    <row r="66" spans="1:59" s="16" customFormat="1" ht="13.5" customHeight="1">
      <c r="A66" s="1102" t="s">
        <v>351</v>
      </c>
      <c r="B66" s="211" t="s">
        <v>179</v>
      </c>
      <c r="C66" s="452">
        <v>350</v>
      </c>
      <c r="D66" s="428">
        <f t="shared" si="39"/>
        <v>128.80000000000001</v>
      </c>
      <c r="E66" s="191">
        <f>LARGE((U66,M66),1)*J66</f>
        <v>68.25</v>
      </c>
      <c r="F66" s="191">
        <f t="shared" si="41"/>
        <v>102.2</v>
      </c>
      <c r="G66" s="192"/>
      <c r="H66" s="49"/>
      <c r="I66" s="40">
        <f t="shared" si="42"/>
        <v>140</v>
      </c>
      <c r="J66" s="28">
        <f t="shared" si="43"/>
        <v>70</v>
      </c>
      <c r="K66" s="28">
        <f t="shared" si="44"/>
        <v>140</v>
      </c>
      <c r="L66" s="175">
        <f t="shared" si="45"/>
        <v>70</v>
      </c>
      <c r="M66" s="478">
        <f>(LARGE(N66:Q66,1)+LARGE(N66:Q66,2))/2</f>
        <v>0.97499999999999998</v>
      </c>
      <c r="N66" s="40">
        <f>성적입력!G$5/계산도구!$AA66</f>
        <v>0.98</v>
      </c>
      <c r="O66" s="28">
        <f>성적입력!H$5/계산도구!$AA66</f>
        <v>0.97</v>
      </c>
      <c r="P66" s="397">
        <f>성적입력!I$5/계산도구!$AA66</f>
        <v>0.88</v>
      </c>
      <c r="Q66" s="397">
        <f>성적입력!J$5/계산도구!$AA66</f>
        <v>0.63</v>
      </c>
      <c r="R66" s="487">
        <f>성적입력!K$5*0.02</f>
        <v>0.34</v>
      </c>
      <c r="S66" s="49"/>
      <c r="T66" s="70">
        <f>성적입력!D$5/계산도구!X66</f>
        <v>0.92</v>
      </c>
      <c r="U66" s="27">
        <f>성적입력!E$5/계산도구!Y66</f>
        <v>0.96</v>
      </c>
      <c r="V66" s="35">
        <f>성적입력!F$5/계산도구!Z66</f>
        <v>0.73</v>
      </c>
      <c r="W66" s="75"/>
      <c r="X66" s="60">
        <v>100</v>
      </c>
      <c r="Y66" s="16">
        <v>100</v>
      </c>
      <c r="Z66" s="16">
        <v>100</v>
      </c>
      <c r="AA66" s="16">
        <v>100</v>
      </c>
      <c r="AB66" s="51"/>
      <c r="AC66" s="49"/>
      <c r="AD66" s="573">
        <v>0.4</v>
      </c>
      <c r="AE66" s="574">
        <v>0.2</v>
      </c>
      <c r="AF66" s="574">
        <v>0.4</v>
      </c>
      <c r="AG66" s="575">
        <v>0.2</v>
      </c>
      <c r="AH66" s="1347" t="s">
        <v>736</v>
      </c>
      <c r="AI66" s="1336" t="s">
        <v>737</v>
      </c>
      <c r="AJ66" s="49" t="s">
        <v>299</v>
      </c>
      <c r="AK66" s="1026" t="s">
        <v>300</v>
      </c>
      <c r="BD66" s="60"/>
      <c r="BF66" s="929"/>
      <c r="BG66" s="60"/>
    </row>
    <row r="67" spans="1:59" s="16" customFormat="1">
      <c r="A67" s="1102" t="s">
        <v>352</v>
      </c>
      <c r="B67" s="211" t="s">
        <v>296</v>
      </c>
      <c r="C67" s="452">
        <v>350</v>
      </c>
      <c r="D67" s="191">
        <f>LARGE((U67,M67),1)*I67</f>
        <v>68.25</v>
      </c>
      <c r="E67" s="191">
        <f>U67*J67</f>
        <v>134.4</v>
      </c>
      <c r="F67" s="191">
        <f>V67*K67</f>
        <v>102.2</v>
      </c>
      <c r="G67" s="192"/>
      <c r="H67" s="49"/>
      <c r="I67" s="40">
        <f>AD67*$C67</f>
        <v>70</v>
      </c>
      <c r="J67" s="28">
        <f>AE67*$C67</f>
        <v>140</v>
      </c>
      <c r="K67" s="28">
        <f>AF67*$C67</f>
        <v>140</v>
      </c>
      <c r="L67" s="175">
        <f>AG67*$C67</f>
        <v>70</v>
      </c>
      <c r="M67" s="478">
        <f>(LARGE(N67:R67,1)+LARGE(N67:R67,2))/2</f>
        <v>0.97499999999999998</v>
      </c>
      <c r="N67" s="40">
        <f>성적입력!G$5/계산도구!$AA67</f>
        <v>0.98</v>
      </c>
      <c r="O67" s="28">
        <f>성적입력!H$5/계산도구!$AA67</f>
        <v>0.97</v>
      </c>
      <c r="P67" s="397">
        <f>성적입력!I$5/계산도구!$AA67</f>
        <v>0.88</v>
      </c>
      <c r="Q67" s="397">
        <f>성적입력!J$5/계산도구!$AA67</f>
        <v>0.63</v>
      </c>
      <c r="R67" s="65"/>
      <c r="S67" s="49"/>
      <c r="T67" s="70">
        <f>성적입력!D$5/계산도구!X67</f>
        <v>0.92</v>
      </c>
      <c r="U67" s="27">
        <f>성적입력!E$5/계산도구!Y67</f>
        <v>0.96</v>
      </c>
      <c r="V67" s="35">
        <f>성적입력!F$5/계산도구!Z67</f>
        <v>0.73</v>
      </c>
      <c r="W67" s="75"/>
      <c r="X67" s="60">
        <v>100</v>
      </c>
      <c r="Y67" s="16">
        <v>100</v>
      </c>
      <c r="Z67" s="16">
        <v>100</v>
      </c>
      <c r="AA67" s="16">
        <v>100</v>
      </c>
      <c r="AB67" s="51"/>
      <c r="AC67" s="49"/>
      <c r="AD67" s="573">
        <v>0.2</v>
      </c>
      <c r="AE67" s="574">
        <v>0.4</v>
      </c>
      <c r="AF67" s="574">
        <v>0.4</v>
      </c>
      <c r="AG67" s="575">
        <v>0.2</v>
      </c>
      <c r="AH67" s="1348" t="s">
        <v>738</v>
      </c>
      <c r="AI67" s="1336" t="s">
        <v>739</v>
      </c>
      <c r="AJ67" s="49"/>
      <c r="AK67" s="60"/>
      <c r="BD67" s="60"/>
      <c r="BF67" s="929"/>
      <c r="BG67" s="60"/>
    </row>
    <row r="68" spans="1:59" s="15" customFormat="1" ht="14.25" thickBot="1">
      <c r="A68" s="1110" t="s">
        <v>353</v>
      </c>
      <c r="B68" s="212" t="s">
        <v>188</v>
      </c>
      <c r="C68" s="453">
        <v>350</v>
      </c>
      <c r="D68" s="429">
        <f t="shared" ref="D68:E71" si="47">T68*I68</f>
        <v>0</v>
      </c>
      <c r="E68" s="193">
        <f t="shared" si="47"/>
        <v>134.4</v>
      </c>
      <c r="F68" s="193">
        <f t="shared" ref="F68:F76" si="48">V68*K68</f>
        <v>102.2</v>
      </c>
      <c r="G68" s="194">
        <f>M68*L68</f>
        <v>68.25</v>
      </c>
      <c r="H68" s="50"/>
      <c r="I68" s="41">
        <f t="shared" ref="I68:I75" si="49">AD68*$C68</f>
        <v>0</v>
      </c>
      <c r="J68" s="30">
        <f t="shared" ref="J68:J76" si="50">AE68*$C68</f>
        <v>140</v>
      </c>
      <c r="K68" s="30">
        <f t="shared" ref="K68:K76" si="51">AF68*$C68</f>
        <v>140</v>
      </c>
      <c r="L68" s="176">
        <f t="shared" ref="L68:L76" si="52">AG68*$C68</f>
        <v>70</v>
      </c>
      <c r="M68" s="479">
        <f>(LARGE(N68:R68,1)+LARGE(N68:R68,2))/2</f>
        <v>0.97499999999999998</v>
      </c>
      <c r="N68" s="41">
        <f>성적입력!G$5/계산도구!$AA68</f>
        <v>0.98</v>
      </c>
      <c r="O68" s="30">
        <f>성적입력!H$5/계산도구!$AA68</f>
        <v>0.97</v>
      </c>
      <c r="P68" s="31">
        <f>성적입력!I$5/계산도구!$AA68</f>
        <v>0.88</v>
      </c>
      <c r="Q68" s="31">
        <f>성적입력!J$5/계산도구!$AA68</f>
        <v>0.63</v>
      </c>
      <c r="R68" s="66"/>
      <c r="S68" s="50"/>
      <c r="T68" s="71">
        <f>성적입력!D$5/계산도구!X68</f>
        <v>0.92</v>
      </c>
      <c r="U68" s="29">
        <f>성적입력!E$5/계산도구!Y68</f>
        <v>0.96</v>
      </c>
      <c r="V68" s="36">
        <f>성적입력!F$5/계산도구!Z68</f>
        <v>0.73</v>
      </c>
      <c r="W68" s="76"/>
      <c r="X68" s="61">
        <v>100</v>
      </c>
      <c r="Y68" s="15">
        <v>100</v>
      </c>
      <c r="Z68" s="15">
        <v>100</v>
      </c>
      <c r="AA68" s="15">
        <v>100</v>
      </c>
      <c r="AB68" s="52"/>
      <c r="AC68" s="50"/>
      <c r="AD68" s="576"/>
      <c r="AE68" s="577">
        <v>0.4</v>
      </c>
      <c r="AF68" s="577">
        <v>0.4</v>
      </c>
      <c r="AG68" s="578">
        <v>0.2</v>
      </c>
      <c r="AH68" s="1349"/>
      <c r="AI68" s="1341"/>
      <c r="AJ68" s="50"/>
      <c r="AK68" s="61"/>
      <c r="BD68" s="61"/>
      <c r="BF68" s="936"/>
      <c r="BG68" s="61"/>
    </row>
    <row r="69" spans="1:59" s="19" customFormat="1">
      <c r="A69" s="1092" t="s">
        <v>354</v>
      </c>
      <c r="B69" s="207" t="s">
        <v>179</v>
      </c>
      <c r="C69" s="443">
        <v>700</v>
      </c>
      <c r="D69" s="419">
        <f t="shared" si="47"/>
        <v>257.60000000000002</v>
      </c>
      <c r="E69" s="182">
        <f>LARGE((U69,M69),1)*J69</f>
        <v>136.5</v>
      </c>
      <c r="F69" s="182">
        <f t="shared" si="48"/>
        <v>204.4</v>
      </c>
      <c r="G69" s="183"/>
      <c r="H69" s="46"/>
      <c r="I69" s="37">
        <f t="shared" si="49"/>
        <v>280</v>
      </c>
      <c r="J69" s="22">
        <f t="shared" si="50"/>
        <v>140</v>
      </c>
      <c r="K69" s="22">
        <f t="shared" si="51"/>
        <v>280</v>
      </c>
      <c r="L69" s="171">
        <f t="shared" si="52"/>
        <v>140</v>
      </c>
      <c r="M69" s="472">
        <f>(LARGE(N69:R69,1)+LARGE(N69:R69,2))/2</f>
        <v>0.97499999999999998</v>
      </c>
      <c r="N69" s="37">
        <f>성적입력!G$5/계산도구!$AA69</f>
        <v>0.98</v>
      </c>
      <c r="O69" s="22">
        <f>성적입력!H$5/계산도구!$AA69</f>
        <v>0.97</v>
      </c>
      <c r="P69" s="23">
        <f>성적입력!I$5/계산도구!$AA69</f>
        <v>0.88</v>
      </c>
      <c r="Q69" s="23">
        <f>성적입력!J$5/계산도구!$AA69</f>
        <v>0.63</v>
      </c>
      <c r="R69" s="62"/>
      <c r="S69" s="46"/>
      <c r="T69" s="67">
        <f>성적입력!D$5/계산도구!X69</f>
        <v>0.92</v>
      </c>
      <c r="U69" s="21">
        <f>성적입력!E$5/계산도구!Y69</f>
        <v>0.96</v>
      </c>
      <c r="V69" s="32">
        <f>성적입력!F$5/계산도구!Z69</f>
        <v>0.73</v>
      </c>
      <c r="W69" s="72"/>
      <c r="X69" s="57">
        <v>100</v>
      </c>
      <c r="Y69" s="19">
        <v>100</v>
      </c>
      <c r="Z69" s="19">
        <v>100</v>
      </c>
      <c r="AA69" s="19">
        <v>100</v>
      </c>
      <c r="AB69" s="77"/>
      <c r="AC69" s="46"/>
      <c r="AD69" s="546">
        <v>0.4</v>
      </c>
      <c r="AE69" s="547">
        <v>0.2</v>
      </c>
      <c r="AF69" s="547">
        <v>0.4</v>
      </c>
      <c r="AG69" s="548">
        <v>0.2</v>
      </c>
      <c r="AH69" s="1324"/>
      <c r="AI69" s="1324"/>
      <c r="AJ69" s="46"/>
      <c r="AK69" s="57"/>
      <c r="BD69" s="57"/>
      <c r="BF69" s="912"/>
      <c r="BG69" s="57"/>
    </row>
    <row r="70" spans="1:59" s="1049" customFormat="1" ht="14.25" thickBot="1">
      <c r="A70" s="1116" t="s">
        <v>355</v>
      </c>
      <c r="B70" s="1033" t="s">
        <v>304</v>
      </c>
      <c r="C70" s="1034">
        <v>700</v>
      </c>
      <c r="D70" s="1035">
        <f>LARGE((T70,M70),1)*I70</f>
        <v>136.5</v>
      </c>
      <c r="E70" s="1036">
        <f>U70*J70</f>
        <v>268.8</v>
      </c>
      <c r="F70" s="1036">
        <f>V70*K70</f>
        <v>204.4</v>
      </c>
      <c r="G70" s="1037"/>
      <c r="H70" s="1033"/>
      <c r="I70" s="1038">
        <f>AD70*$C70</f>
        <v>140</v>
      </c>
      <c r="J70" s="1039">
        <f>AE70*$C70</f>
        <v>280</v>
      </c>
      <c r="K70" s="1039">
        <f>AF70*$C70</f>
        <v>280</v>
      </c>
      <c r="L70" s="1040">
        <f>AG70*$C70</f>
        <v>140</v>
      </c>
      <c r="M70" s="1041">
        <f>(LARGE(N70:R70,1)+LARGE(N70:R70,2))/2</f>
        <v>0.97499999999999998</v>
      </c>
      <c r="N70" s="1038">
        <f>성적입력!G$5/계산도구!$AA70</f>
        <v>0.98</v>
      </c>
      <c r="O70" s="1039">
        <f>성적입력!H$5/계산도구!$AA70</f>
        <v>0.97</v>
      </c>
      <c r="P70" s="1042">
        <f>성적입력!I$5/계산도구!$AA70</f>
        <v>0.88</v>
      </c>
      <c r="Q70" s="1042">
        <f>성적입력!J$5/계산도구!$AA70</f>
        <v>0.63</v>
      </c>
      <c r="R70" s="1043"/>
      <c r="S70" s="1033"/>
      <c r="T70" s="1044">
        <f>성적입력!D$5/계산도구!X70</f>
        <v>0.92</v>
      </c>
      <c r="U70" s="1045">
        <f>성적입력!E$5/계산도구!Y70</f>
        <v>0.96</v>
      </c>
      <c r="V70" s="1046">
        <f>성적입력!F$5/계산도구!Z70</f>
        <v>0.73</v>
      </c>
      <c r="W70" s="1047"/>
      <c r="X70" s="1048">
        <v>100</v>
      </c>
      <c r="Y70" s="1049">
        <v>100</v>
      </c>
      <c r="Z70" s="1049">
        <v>100</v>
      </c>
      <c r="AA70" s="1049">
        <v>100</v>
      </c>
      <c r="AB70" s="1050"/>
      <c r="AC70" s="1033"/>
      <c r="AD70" s="1051">
        <v>0.2</v>
      </c>
      <c r="AE70" s="1052">
        <v>0.4</v>
      </c>
      <c r="AF70" s="1052">
        <v>0.4</v>
      </c>
      <c r="AG70" s="1053">
        <v>0.2</v>
      </c>
      <c r="AH70" s="1054" t="s">
        <v>740</v>
      </c>
      <c r="AI70" s="1054"/>
      <c r="AJ70" s="1033"/>
      <c r="AK70" s="1048"/>
      <c r="BD70" s="1048"/>
      <c r="BF70" s="1055"/>
      <c r="BG70" s="1048"/>
    </row>
    <row r="71" spans="1:59" s="16" customFormat="1">
      <c r="A71" s="1102" t="s">
        <v>356</v>
      </c>
      <c r="B71" s="211" t="s">
        <v>189</v>
      </c>
      <c r="C71" s="452">
        <v>600</v>
      </c>
      <c r="D71" s="428">
        <f t="shared" si="47"/>
        <v>165.6</v>
      </c>
      <c r="E71" s="191">
        <f>U71*J71</f>
        <v>115.19999999999999</v>
      </c>
      <c r="F71" s="191">
        <f t="shared" si="48"/>
        <v>131.4</v>
      </c>
      <c r="G71" s="192">
        <f>M71*L71</f>
        <v>117</v>
      </c>
      <c r="H71" s="49"/>
      <c r="I71" s="40">
        <f t="shared" si="49"/>
        <v>180</v>
      </c>
      <c r="J71" s="28">
        <f t="shared" si="50"/>
        <v>120</v>
      </c>
      <c r="K71" s="28">
        <f t="shared" si="51"/>
        <v>180</v>
      </c>
      <c r="L71" s="175">
        <f t="shared" si="52"/>
        <v>120</v>
      </c>
      <c r="M71" s="478">
        <f>((LARGE(N71:R71,1)+LARGE(N71:R71,2))/2)</f>
        <v>0.97499999999999998</v>
      </c>
      <c r="N71" s="40">
        <f>성적입력!G$5/계산도구!$AA71</f>
        <v>0.98</v>
      </c>
      <c r="O71" s="28">
        <f>성적입력!H$5/계산도구!$AA71</f>
        <v>0.97</v>
      </c>
      <c r="P71" s="397">
        <f>성적입력!I$5/계산도구!$AA71</f>
        <v>0.88</v>
      </c>
      <c r="Q71" s="397">
        <f>성적입력!J$5/계산도구!$AA71</f>
        <v>0.63</v>
      </c>
      <c r="R71" s="65">
        <f>성적입력!K$5/계산도구!$AB9</f>
        <v>0.17</v>
      </c>
      <c r="S71" s="49"/>
      <c r="T71" s="70">
        <f>성적입력!D$5/계산도구!X71</f>
        <v>0.92</v>
      </c>
      <c r="U71" s="27">
        <f>성적입력!E$5/계산도구!Y71</f>
        <v>0.96</v>
      </c>
      <c r="V71" s="35">
        <f>성적입력!F$5/계산도구!Z71</f>
        <v>0.73</v>
      </c>
      <c r="W71" s="75"/>
      <c r="X71" s="60">
        <v>100</v>
      </c>
      <c r="Y71" s="16">
        <v>100</v>
      </c>
      <c r="Z71" s="16">
        <v>100</v>
      </c>
      <c r="AA71" s="16">
        <v>100</v>
      </c>
      <c r="AB71" s="51">
        <v>100</v>
      </c>
      <c r="AC71" s="49"/>
      <c r="AD71" s="573">
        <v>0.3</v>
      </c>
      <c r="AE71" s="574">
        <v>0.2</v>
      </c>
      <c r="AF71" s="574">
        <v>0.3</v>
      </c>
      <c r="AG71" s="575">
        <v>0.2</v>
      </c>
      <c r="AH71" s="1336"/>
      <c r="AI71" s="1336"/>
      <c r="AJ71" s="49"/>
      <c r="AK71" s="60"/>
      <c r="BD71" s="60"/>
      <c r="BF71" s="929"/>
      <c r="BG71" s="60"/>
    </row>
    <row r="72" spans="1:59" s="10" customFormat="1">
      <c r="A72" s="1103" t="s">
        <v>357</v>
      </c>
      <c r="B72" s="208" t="s">
        <v>428</v>
      </c>
      <c r="C72" s="444">
        <v>1000</v>
      </c>
      <c r="D72" s="903">
        <f>T72*I72</f>
        <v>322</v>
      </c>
      <c r="E72" s="904">
        <f>LARGE((U72,M72),1)*J72</f>
        <v>292.5</v>
      </c>
      <c r="F72" s="904">
        <f>V72*K72</f>
        <v>255.5</v>
      </c>
      <c r="G72" s="185"/>
      <c r="H72" s="47"/>
      <c r="I72" s="38">
        <f t="shared" si="49"/>
        <v>350</v>
      </c>
      <c r="J72" s="12">
        <f t="shared" si="50"/>
        <v>300</v>
      </c>
      <c r="K72" s="12">
        <f t="shared" si="51"/>
        <v>350</v>
      </c>
      <c r="L72" s="172">
        <f t="shared" si="52"/>
        <v>300</v>
      </c>
      <c r="M72" s="473">
        <f>(LARGE(N72:R72,1)+LARGE(N72:R72,2))/2</f>
        <v>0.97499999999999998</v>
      </c>
      <c r="N72" s="38">
        <f>성적입력!G$5/계산도구!$AA72</f>
        <v>0.98</v>
      </c>
      <c r="O72" s="12">
        <f>성적입력!H$5/계산도구!$AA72</f>
        <v>0.97</v>
      </c>
      <c r="P72" s="13">
        <f>성적입력!I$5/계산도구!$AA72</f>
        <v>0.88</v>
      </c>
      <c r="Q72" s="13">
        <f>성적입력!J$5/계산도구!$AA72</f>
        <v>0.63</v>
      </c>
      <c r="R72" s="63">
        <f>성적입력!K$5/계산도구!$AB10</f>
        <v>0.17</v>
      </c>
      <c r="S72" s="47"/>
      <c r="T72" s="68">
        <f>성적입력!D$5/계산도구!X72</f>
        <v>0.92</v>
      </c>
      <c r="U72" s="11">
        <f>성적입력!E$5/계산도구!Y72</f>
        <v>0.96</v>
      </c>
      <c r="V72" s="33">
        <f>성적입력!F$5/계산도구!Z72</f>
        <v>0.73</v>
      </c>
      <c r="W72" s="73"/>
      <c r="X72" s="58">
        <v>100</v>
      </c>
      <c r="Y72" s="10">
        <v>100</v>
      </c>
      <c r="Z72" s="10">
        <v>100</v>
      </c>
      <c r="AA72" s="10">
        <v>100</v>
      </c>
      <c r="AB72" s="78">
        <v>100</v>
      </c>
      <c r="AC72" s="47"/>
      <c r="AD72" s="609">
        <v>0.35</v>
      </c>
      <c r="AE72" s="610">
        <v>0.3</v>
      </c>
      <c r="AF72" s="610">
        <v>0.35</v>
      </c>
      <c r="AG72" s="611">
        <v>0.3</v>
      </c>
      <c r="AH72" s="1325"/>
      <c r="AI72" s="1325"/>
      <c r="AJ72" s="47"/>
      <c r="AK72" s="58"/>
      <c r="BD72" s="58"/>
      <c r="BF72" s="927"/>
      <c r="BG72" s="58"/>
    </row>
    <row r="73" spans="1:59" s="15" customFormat="1" ht="14.25" thickBot="1">
      <c r="A73" s="1110" t="s">
        <v>358</v>
      </c>
      <c r="B73" s="212" t="s">
        <v>266</v>
      </c>
      <c r="C73" s="453">
        <v>1000</v>
      </c>
      <c r="D73" s="905">
        <f>LARGE((T73,M73),1)*I73</f>
        <v>292.5</v>
      </c>
      <c r="E73" s="906">
        <f>U73*J73</f>
        <v>336</v>
      </c>
      <c r="F73" s="906">
        <f t="shared" si="48"/>
        <v>255.5</v>
      </c>
      <c r="G73" s="194"/>
      <c r="H73" s="50"/>
      <c r="I73" s="41">
        <f t="shared" si="49"/>
        <v>300</v>
      </c>
      <c r="J73" s="30">
        <f t="shared" si="50"/>
        <v>350</v>
      </c>
      <c r="K73" s="30">
        <f t="shared" si="51"/>
        <v>350</v>
      </c>
      <c r="L73" s="176">
        <f t="shared" si="52"/>
        <v>300</v>
      </c>
      <c r="M73" s="479">
        <f>(LARGE(N73:R73,1)+LARGE(N73:R73,2))/2</f>
        <v>0.97499999999999998</v>
      </c>
      <c r="N73" s="41">
        <f>성적입력!G$5/계산도구!$AA73</f>
        <v>0.98</v>
      </c>
      <c r="O73" s="30">
        <f>성적입력!H$5/계산도구!$AA73</f>
        <v>0.97</v>
      </c>
      <c r="P73" s="31">
        <f>성적입력!I$5/계산도구!$AA73</f>
        <v>0.88</v>
      </c>
      <c r="Q73" s="31">
        <f>성적입력!J$5/계산도구!$AA73</f>
        <v>0.63</v>
      </c>
      <c r="R73" s="63">
        <f>성적입력!K$5/계산도구!$AB11</f>
        <v>0.17</v>
      </c>
      <c r="S73" s="50"/>
      <c r="T73" s="71">
        <f>성적입력!D$5/계산도구!X73</f>
        <v>0.92</v>
      </c>
      <c r="U73" s="29">
        <f>성적입력!E$5/계산도구!Y73</f>
        <v>0.96</v>
      </c>
      <c r="V73" s="36">
        <f>성적입력!F$5/계산도구!Z73</f>
        <v>0.73</v>
      </c>
      <c r="W73" s="76"/>
      <c r="X73" s="61">
        <v>100</v>
      </c>
      <c r="Y73" s="15">
        <v>100</v>
      </c>
      <c r="Z73" s="15">
        <v>100</v>
      </c>
      <c r="AA73" s="15">
        <v>100</v>
      </c>
      <c r="AB73" s="52">
        <v>100</v>
      </c>
      <c r="AC73" s="50"/>
      <c r="AD73" s="900">
        <v>0.3</v>
      </c>
      <c r="AE73" s="901">
        <v>0.35</v>
      </c>
      <c r="AF73" s="901">
        <v>0.35</v>
      </c>
      <c r="AG73" s="902">
        <v>0.3</v>
      </c>
      <c r="AH73" s="1341"/>
      <c r="AI73" s="1341"/>
      <c r="AJ73" s="50"/>
      <c r="AK73" s="61"/>
      <c r="BD73" s="61"/>
      <c r="BF73" s="936"/>
      <c r="BG73" s="61"/>
    </row>
    <row r="74" spans="1:59" s="257" customFormat="1" ht="14.25" thickBot="1">
      <c r="A74" s="1117" t="s">
        <v>359</v>
      </c>
      <c r="B74" s="335" t="s">
        <v>404</v>
      </c>
      <c r="C74" s="454">
        <v>700</v>
      </c>
      <c r="D74" s="430"/>
      <c r="E74" s="336">
        <f>LARGE((U74,T74),1)*J74+LARGE(성적입력!$D$5:$E$5,1)*0.03</f>
        <v>226.87999999999997</v>
      </c>
      <c r="F74" s="336">
        <f>V74*K74+성적입력!$F$5*0.05</f>
        <v>173.98333333333332</v>
      </c>
      <c r="G74" s="340">
        <f t="shared" ref="G74:G97" si="53">M74*L74</f>
        <v>227.49999999999997</v>
      </c>
      <c r="H74" s="341"/>
      <c r="I74" s="338">
        <f t="shared" si="49"/>
        <v>233.33333333333331</v>
      </c>
      <c r="J74" s="339">
        <f t="shared" si="50"/>
        <v>233.33333333333331</v>
      </c>
      <c r="K74" s="339">
        <f t="shared" si="51"/>
        <v>233.33333333333331</v>
      </c>
      <c r="L74" s="349">
        <f t="shared" si="52"/>
        <v>233.33333333333331</v>
      </c>
      <c r="M74" s="337">
        <f>(LARGE(N74:R74,1)+LARGE(N74:R74,2))/2</f>
        <v>0.97499999999999998</v>
      </c>
      <c r="N74" s="338">
        <f>성적입력!G$5/계산도구!$AA74</f>
        <v>0.98</v>
      </c>
      <c r="O74" s="339">
        <f>성적입력!H$5/계산도구!$AA74</f>
        <v>0.97</v>
      </c>
      <c r="P74" s="398">
        <f>성적입력!I$5/계산도구!$AA74</f>
        <v>0.88</v>
      </c>
      <c r="Q74" s="398">
        <f>성적입력!J$5/계산도구!$AA74</f>
        <v>0.63</v>
      </c>
      <c r="R74" s="342"/>
      <c r="S74" s="341"/>
      <c r="T74" s="343">
        <f>성적입력!D$5/계산도구!X74</f>
        <v>0.92</v>
      </c>
      <c r="U74" s="344">
        <f>성적입력!E$5/계산도구!Y74</f>
        <v>0.96</v>
      </c>
      <c r="V74" s="345">
        <f>성적입력!F$5/계산도구!Z74</f>
        <v>0.73</v>
      </c>
      <c r="W74" s="346"/>
      <c r="X74" s="347">
        <v>100</v>
      </c>
      <c r="Y74" s="257">
        <v>100</v>
      </c>
      <c r="Z74" s="257">
        <v>100</v>
      </c>
      <c r="AA74" s="257">
        <v>100</v>
      </c>
      <c r="AB74" s="348"/>
      <c r="AC74" s="341"/>
      <c r="AD74" s="579">
        <f>1/3</f>
        <v>0.33333333333333331</v>
      </c>
      <c r="AE74" s="580">
        <f>1/3</f>
        <v>0.33333333333333331</v>
      </c>
      <c r="AF74" s="580">
        <f>1/3</f>
        <v>0.33333333333333331</v>
      </c>
      <c r="AG74" s="581">
        <f>1/3</f>
        <v>0.33333333333333331</v>
      </c>
      <c r="AH74" s="1350" t="s">
        <v>741</v>
      </c>
      <c r="AI74" s="1350" t="s">
        <v>742</v>
      </c>
      <c r="AJ74" s="341"/>
      <c r="AK74" s="347"/>
      <c r="AL74" s="869"/>
      <c r="AM74" s="869"/>
      <c r="AN74" s="869"/>
      <c r="AO74" s="869"/>
      <c r="AP74" s="869"/>
      <c r="AQ74" s="869"/>
      <c r="AR74" s="869"/>
      <c r="AS74" s="869"/>
      <c r="AT74" s="869"/>
      <c r="AU74" s="869"/>
      <c r="AV74" s="869"/>
      <c r="AW74" s="869"/>
      <c r="AX74" s="869"/>
      <c r="AY74" s="869"/>
      <c r="AZ74" s="869"/>
      <c r="BA74" s="869"/>
      <c r="BB74" s="869"/>
      <c r="BC74" s="1220"/>
      <c r="BD74" s="347"/>
      <c r="BF74" s="940"/>
      <c r="BG74" s="347"/>
    </row>
    <row r="75" spans="1:59" s="365" customFormat="1" ht="14.25" thickBot="1">
      <c r="A75" s="1105" t="s">
        <v>360</v>
      </c>
      <c r="B75" s="354" t="s">
        <v>59</v>
      </c>
      <c r="C75" s="455">
        <v>500</v>
      </c>
      <c r="D75" s="431">
        <f t="shared" ref="D75:E81" si="54">T75*I75</f>
        <v>115</v>
      </c>
      <c r="E75" s="355">
        <f t="shared" si="54"/>
        <v>120</v>
      </c>
      <c r="F75" s="355">
        <f t="shared" si="48"/>
        <v>91.25</v>
      </c>
      <c r="G75" s="356">
        <f t="shared" si="53"/>
        <v>121.875</v>
      </c>
      <c r="H75" s="357"/>
      <c r="I75" s="358">
        <f t="shared" si="49"/>
        <v>125</v>
      </c>
      <c r="J75" s="359">
        <f t="shared" si="50"/>
        <v>125</v>
      </c>
      <c r="K75" s="359">
        <f t="shared" si="51"/>
        <v>125</v>
      </c>
      <c r="L75" s="366">
        <f t="shared" si="52"/>
        <v>125</v>
      </c>
      <c r="M75" s="480">
        <f>(LARGE(N75:R75,1)+LARGE(N75:R75,2))/2</f>
        <v>0.97499999999999998</v>
      </c>
      <c r="N75" s="358">
        <f>성적입력!G$5/계산도구!$AA75</f>
        <v>0.98</v>
      </c>
      <c r="O75" s="359">
        <f>성적입력!H$5/계산도구!$AA75</f>
        <v>0.97</v>
      </c>
      <c r="P75" s="399">
        <f>성적입력!I$5/계산도구!$AA75</f>
        <v>0.88</v>
      </c>
      <c r="Q75" s="399">
        <f>성적입력!J$5/계산도구!$AA75</f>
        <v>0.63</v>
      </c>
      <c r="R75" s="488"/>
      <c r="S75" s="357"/>
      <c r="T75" s="360">
        <f>성적입력!D$5/계산도구!X75</f>
        <v>0.92</v>
      </c>
      <c r="U75" s="361">
        <f>성적입력!E$5/계산도구!Y75</f>
        <v>0.96</v>
      </c>
      <c r="V75" s="362">
        <f>성적입력!F$5/계산도구!Z75</f>
        <v>0.73</v>
      </c>
      <c r="W75" s="363"/>
      <c r="X75" s="364">
        <v>100</v>
      </c>
      <c r="Y75" s="365">
        <v>100</v>
      </c>
      <c r="Z75" s="365">
        <v>100</v>
      </c>
      <c r="AA75" s="365">
        <v>100</v>
      </c>
      <c r="AB75" s="353">
        <v>100</v>
      </c>
      <c r="AC75" s="357"/>
      <c r="AD75" s="582">
        <v>0.25</v>
      </c>
      <c r="AE75" s="583">
        <v>0.25</v>
      </c>
      <c r="AF75" s="583">
        <v>0.25</v>
      </c>
      <c r="AG75" s="584">
        <v>0.25</v>
      </c>
      <c r="AH75" s="1338"/>
      <c r="AI75" s="1338"/>
      <c r="AJ75" s="357"/>
      <c r="AK75" s="364"/>
      <c r="BD75" s="364"/>
      <c r="BF75" s="931"/>
      <c r="BG75" s="364"/>
    </row>
    <row r="76" spans="1:59" s="382" customFormat="1" ht="14.25" thickBot="1">
      <c r="A76" s="1118" t="s">
        <v>361</v>
      </c>
      <c r="B76" s="411" t="s">
        <v>179</v>
      </c>
      <c r="C76" s="458">
        <v>600</v>
      </c>
      <c r="D76" s="435">
        <f t="shared" si="54"/>
        <v>93.75</v>
      </c>
      <c r="E76" s="400">
        <f t="shared" si="54"/>
        <v>104.24999999999999</v>
      </c>
      <c r="F76" s="400">
        <f t="shared" si="48"/>
        <v>86.25</v>
      </c>
      <c r="G76" s="461">
        <f t="shared" si="53"/>
        <v>94.124999999999986</v>
      </c>
      <c r="H76" s="467"/>
      <c r="I76" s="464">
        <f t="shared" ref="I76:I112" si="55">AD76*$C76</f>
        <v>150</v>
      </c>
      <c r="J76" s="401">
        <f t="shared" si="50"/>
        <v>150</v>
      </c>
      <c r="K76" s="401">
        <f t="shared" si="51"/>
        <v>150</v>
      </c>
      <c r="L76" s="469">
        <f t="shared" si="52"/>
        <v>150</v>
      </c>
      <c r="M76" s="484">
        <f>(N76+O76+P76+Q76)/4</f>
        <v>0.62749999999999995</v>
      </c>
      <c r="N76" s="464">
        <f>성적입력!G$4/$AA76</f>
        <v>0.68</v>
      </c>
      <c r="O76" s="401">
        <f>성적입력!H$4/$AA76</f>
        <v>0.66</v>
      </c>
      <c r="P76" s="401">
        <f>성적입력!I$4/$AA76</f>
        <v>0.62</v>
      </c>
      <c r="Q76" s="401">
        <f>성적입력!J$4/$AA76</f>
        <v>0.55000000000000004</v>
      </c>
      <c r="R76" s="489"/>
      <c r="S76" s="467"/>
      <c r="T76" s="493">
        <f>성적입력!D$4/계산도구!X76</f>
        <v>0.625</v>
      </c>
      <c r="U76" s="402">
        <f>성적입력!E$4/계산도구!Y76</f>
        <v>0.69499999999999995</v>
      </c>
      <c r="V76" s="495">
        <f>성적입력!F$4/계산도구!Z76</f>
        <v>0.57499999999999996</v>
      </c>
      <c r="W76" s="499"/>
      <c r="X76" s="497">
        <v>200</v>
      </c>
      <c r="Y76" s="382">
        <v>200</v>
      </c>
      <c r="Z76" s="382">
        <v>200</v>
      </c>
      <c r="AA76" s="382">
        <v>100</v>
      </c>
      <c r="AB76" s="501"/>
      <c r="AC76" s="467"/>
      <c r="AD76" s="593">
        <v>0.25</v>
      </c>
      <c r="AE76" s="594">
        <v>0.25</v>
      </c>
      <c r="AF76" s="594">
        <v>0.25</v>
      </c>
      <c r="AG76" s="595">
        <v>0.25</v>
      </c>
      <c r="AH76" s="1351"/>
      <c r="AI76" s="1351"/>
      <c r="AJ76" s="467"/>
      <c r="AK76" s="497"/>
      <c r="BD76" s="497"/>
      <c r="BF76" s="941"/>
      <c r="BG76" s="497"/>
    </row>
    <row r="77" spans="1:59" s="16" customFormat="1">
      <c r="A77" s="1102" t="s">
        <v>362</v>
      </c>
      <c r="B77" s="211" t="s">
        <v>190</v>
      </c>
      <c r="C77" s="452">
        <v>280</v>
      </c>
      <c r="D77" s="428">
        <f t="shared" si="54"/>
        <v>64.400000000000006</v>
      </c>
      <c r="E77" s="191">
        <f t="shared" si="54"/>
        <v>67.2</v>
      </c>
      <c r="F77" s="191">
        <f t="shared" ref="F77:F94" si="56">V77*K77</f>
        <v>61.32</v>
      </c>
      <c r="G77" s="192">
        <f t="shared" si="53"/>
        <v>52.826666666666668</v>
      </c>
      <c r="H77" s="49"/>
      <c r="I77" s="40">
        <f t="shared" si="55"/>
        <v>70</v>
      </c>
      <c r="J77" s="28">
        <f t="shared" ref="J77:J94" si="57">AE77*$C77</f>
        <v>70</v>
      </c>
      <c r="K77" s="28">
        <f t="shared" ref="K77:K94" si="58">AF77*$C77</f>
        <v>84</v>
      </c>
      <c r="L77" s="175">
        <f t="shared" ref="L77:L94" si="59">AG77*$C77</f>
        <v>56</v>
      </c>
      <c r="M77" s="478">
        <f t="shared" ref="M77:M83" si="60">(LARGE(N77:R77,1)+LARGE(N77:R77,2)+LARGE(N77:R77,3))/3</f>
        <v>0.94333333333333336</v>
      </c>
      <c r="N77" s="40">
        <f>성적입력!G$5/계산도구!$AA77</f>
        <v>0.98</v>
      </c>
      <c r="O77" s="28">
        <f>성적입력!H$5/계산도구!$AA77</f>
        <v>0.97</v>
      </c>
      <c r="P77" s="397">
        <f>성적입력!I$5/계산도구!$AA77</f>
        <v>0.88</v>
      </c>
      <c r="Q77" s="397">
        <f>성적입력!J$5/계산도구!$AA77</f>
        <v>0.63</v>
      </c>
      <c r="R77" s="65"/>
      <c r="S77" s="49"/>
      <c r="T77" s="70">
        <f>성적입력!D$5/계산도구!X77</f>
        <v>0.92</v>
      </c>
      <c r="U77" s="27">
        <f>성적입력!E$5/계산도구!Y77</f>
        <v>0.96</v>
      </c>
      <c r="V77" s="35">
        <f>성적입력!F$5/계산도구!Z77</f>
        <v>0.73</v>
      </c>
      <c r="W77" s="75"/>
      <c r="X77" s="60">
        <v>100</v>
      </c>
      <c r="Y77" s="16">
        <v>100</v>
      </c>
      <c r="Z77" s="16">
        <v>100</v>
      </c>
      <c r="AA77" s="16">
        <v>100</v>
      </c>
      <c r="AB77" s="51"/>
      <c r="AC77" s="49"/>
      <c r="AD77" s="573">
        <f>1/4</f>
        <v>0.25</v>
      </c>
      <c r="AE77" s="574">
        <f>1/4</f>
        <v>0.25</v>
      </c>
      <c r="AF77" s="574">
        <f>1.2/4</f>
        <v>0.3</v>
      </c>
      <c r="AG77" s="575">
        <f>0.8/4</f>
        <v>0.2</v>
      </c>
      <c r="AH77" s="1336" t="s">
        <v>756</v>
      </c>
      <c r="AI77" s="1336" t="s">
        <v>757</v>
      </c>
      <c r="AJ77" s="49"/>
      <c r="AK77" s="60"/>
      <c r="BD77" s="60"/>
      <c r="BF77" s="929"/>
      <c r="BG77" s="60"/>
    </row>
    <row r="78" spans="1:59" s="10" customFormat="1">
      <c r="A78" s="1103" t="s">
        <v>363</v>
      </c>
      <c r="B78" s="208" t="s">
        <v>191</v>
      </c>
      <c r="C78" s="444">
        <v>280</v>
      </c>
      <c r="D78" s="420">
        <f t="shared" si="54"/>
        <v>77.28</v>
      </c>
      <c r="E78" s="184">
        <f t="shared" si="54"/>
        <v>47.04</v>
      </c>
      <c r="F78" s="184">
        <f t="shared" si="56"/>
        <v>56.21</v>
      </c>
      <c r="G78" s="185">
        <f t="shared" si="53"/>
        <v>66.033333333333331</v>
      </c>
      <c r="H78" s="47"/>
      <c r="I78" s="38">
        <f t="shared" si="55"/>
        <v>84</v>
      </c>
      <c r="J78" s="12">
        <f t="shared" si="57"/>
        <v>49</v>
      </c>
      <c r="K78" s="12">
        <f t="shared" si="58"/>
        <v>77</v>
      </c>
      <c r="L78" s="172">
        <f t="shared" si="59"/>
        <v>70</v>
      </c>
      <c r="M78" s="473">
        <f t="shared" si="60"/>
        <v>0.94333333333333336</v>
      </c>
      <c r="N78" s="38">
        <f>성적입력!G$5/계산도구!$AA78</f>
        <v>0.98</v>
      </c>
      <c r="O78" s="12">
        <f>성적입력!H$5/계산도구!$AA78</f>
        <v>0.97</v>
      </c>
      <c r="P78" s="13">
        <f>성적입력!I$5/계산도구!$AA78</f>
        <v>0.88</v>
      </c>
      <c r="Q78" s="13">
        <f>성적입력!J$5/계산도구!$AA78</f>
        <v>0.63</v>
      </c>
      <c r="R78" s="63"/>
      <c r="S78" s="47"/>
      <c r="T78" s="68">
        <f>성적입력!D$5/계산도구!X78</f>
        <v>0.92</v>
      </c>
      <c r="U78" s="11">
        <f>성적입력!E$5/계산도구!Y78</f>
        <v>0.96</v>
      </c>
      <c r="V78" s="33">
        <f>성적입력!F$5/계산도구!Z78</f>
        <v>0.73</v>
      </c>
      <c r="W78" s="73"/>
      <c r="X78" s="58">
        <v>100</v>
      </c>
      <c r="Y78" s="10">
        <v>100</v>
      </c>
      <c r="Z78" s="10">
        <v>100</v>
      </c>
      <c r="AA78" s="10">
        <v>100</v>
      </c>
      <c r="AB78" s="78"/>
      <c r="AC78" s="47"/>
      <c r="AD78" s="549">
        <f>1.2/4</f>
        <v>0.3</v>
      </c>
      <c r="AE78" s="550">
        <f>0.7/4</f>
        <v>0.17499999999999999</v>
      </c>
      <c r="AF78" s="550">
        <f>1.1/4</f>
        <v>0.27500000000000002</v>
      </c>
      <c r="AG78" s="551">
        <f>1/4</f>
        <v>0.25</v>
      </c>
      <c r="AH78" s="1325"/>
      <c r="AI78" s="1325"/>
      <c r="AJ78" s="47"/>
      <c r="AK78" s="58"/>
      <c r="BD78" s="58"/>
      <c r="BF78" s="927"/>
      <c r="BG78" s="58"/>
    </row>
    <row r="79" spans="1:59" s="15" customFormat="1" ht="14.25" thickBot="1">
      <c r="A79" s="1110" t="s">
        <v>364</v>
      </c>
      <c r="B79" s="212" t="s">
        <v>192</v>
      </c>
      <c r="C79" s="453">
        <v>280</v>
      </c>
      <c r="D79" s="429">
        <f t="shared" si="54"/>
        <v>70.84</v>
      </c>
      <c r="E79" s="193">
        <f t="shared" si="54"/>
        <v>47.04</v>
      </c>
      <c r="F79" s="193">
        <f t="shared" si="56"/>
        <v>61.32</v>
      </c>
      <c r="G79" s="194">
        <f t="shared" si="53"/>
        <v>66.033333333333331</v>
      </c>
      <c r="H79" s="50"/>
      <c r="I79" s="41">
        <f t="shared" si="55"/>
        <v>77</v>
      </c>
      <c r="J79" s="30">
        <f t="shared" si="57"/>
        <v>49</v>
      </c>
      <c r="K79" s="30">
        <f t="shared" si="58"/>
        <v>84</v>
      </c>
      <c r="L79" s="176">
        <f t="shared" si="59"/>
        <v>70</v>
      </c>
      <c r="M79" s="479">
        <f t="shared" si="60"/>
        <v>0.94333333333333336</v>
      </c>
      <c r="N79" s="41">
        <f>성적입력!G$5/계산도구!$AA79</f>
        <v>0.98</v>
      </c>
      <c r="O79" s="30">
        <f>성적입력!H$5/계산도구!$AA79</f>
        <v>0.97</v>
      </c>
      <c r="P79" s="31">
        <f>성적입력!I$5/계산도구!$AA79</f>
        <v>0.88</v>
      </c>
      <c r="Q79" s="31">
        <f>성적입력!J$5/계산도구!$AA79</f>
        <v>0.63</v>
      </c>
      <c r="R79" s="66"/>
      <c r="S79" s="50"/>
      <c r="T79" s="71">
        <f>성적입력!D$5/계산도구!X79</f>
        <v>0.92</v>
      </c>
      <c r="U79" s="29">
        <f>성적입력!E$5/계산도구!Y79</f>
        <v>0.96</v>
      </c>
      <c r="V79" s="36">
        <f>성적입력!F$5/계산도구!Z79</f>
        <v>0.73</v>
      </c>
      <c r="W79" s="76"/>
      <c r="X79" s="61">
        <v>100</v>
      </c>
      <c r="Y79" s="15">
        <v>100</v>
      </c>
      <c r="Z79" s="15">
        <v>100</v>
      </c>
      <c r="AA79" s="15">
        <v>100</v>
      </c>
      <c r="AB79" s="52">
        <v>100</v>
      </c>
      <c r="AC79" s="50"/>
      <c r="AD79" s="576">
        <f>1.1/4</f>
        <v>0.27500000000000002</v>
      </c>
      <c r="AE79" s="577">
        <f>0.7/4</f>
        <v>0.17499999999999999</v>
      </c>
      <c r="AF79" s="577">
        <f>1.2/4</f>
        <v>0.3</v>
      </c>
      <c r="AG79" s="578">
        <f>1/4</f>
        <v>0.25</v>
      </c>
      <c r="AH79" s="1341" t="s">
        <v>758</v>
      </c>
      <c r="AI79" s="1341" t="s">
        <v>759</v>
      </c>
      <c r="AJ79" s="50"/>
      <c r="AK79" s="61"/>
      <c r="BD79" s="61"/>
      <c r="BF79" s="936"/>
      <c r="BG79" s="61"/>
    </row>
    <row r="80" spans="1:59" s="382" customFormat="1" ht="14.25" thickBot="1">
      <c r="A80" s="1118" t="s">
        <v>365</v>
      </c>
      <c r="B80" s="411" t="s">
        <v>179</v>
      </c>
      <c r="C80" s="458">
        <v>550</v>
      </c>
      <c r="D80" s="435">
        <f t="shared" si="54"/>
        <v>85.9375</v>
      </c>
      <c r="E80" s="400">
        <f t="shared" si="54"/>
        <v>95.5625</v>
      </c>
      <c r="F80" s="400">
        <f t="shared" si="56"/>
        <v>79.0625</v>
      </c>
      <c r="G80" s="461">
        <f t="shared" si="53"/>
        <v>89.833333333333329</v>
      </c>
      <c r="H80" s="467"/>
      <c r="I80" s="464">
        <f t="shared" si="55"/>
        <v>137.5</v>
      </c>
      <c r="J80" s="401">
        <f t="shared" si="57"/>
        <v>137.5</v>
      </c>
      <c r="K80" s="401">
        <f t="shared" si="58"/>
        <v>137.5</v>
      </c>
      <c r="L80" s="469">
        <f t="shared" si="59"/>
        <v>137.5</v>
      </c>
      <c r="M80" s="484">
        <f t="shared" si="60"/>
        <v>0.65333333333333332</v>
      </c>
      <c r="N80" s="464">
        <f>성적입력!G$4/$AA80</f>
        <v>0.68</v>
      </c>
      <c r="O80" s="401">
        <f>성적입력!H$4/$AA80</f>
        <v>0.66</v>
      </c>
      <c r="P80" s="401">
        <f>성적입력!I$4/$AA80</f>
        <v>0.62</v>
      </c>
      <c r="Q80" s="401">
        <f>성적입력!J$4/$AA80</f>
        <v>0.55000000000000004</v>
      </c>
      <c r="R80" s="489"/>
      <c r="S80" s="467"/>
      <c r="T80" s="493">
        <f>성적입력!D$4/계산도구!X80</f>
        <v>0.625</v>
      </c>
      <c r="U80" s="402">
        <f>성적입력!E$4/계산도구!Y80</f>
        <v>0.69499999999999995</v>
      </c>
      <c r="V80" s="495">
        <f>성적입력!F$4/계산도구!Z80</f>
        <v>0.57499999999999996</v>
      </c>
      <c r="W80" s="499"/>
      <c r="X80" s="497">
        <v>200</v>
      </c>
      <c r="Y80" s="382">
        <v>200</v>
      </c>
      <c r="Z80" s="382">
        <v>200</v>
      </c>
      <c r="AA80" s="382">
        <v>100</v>
      </c>
      <c r="AB80" s="501"/>
      <c r="AC80" s="467"/>
      <c r="AD80" s="593">
        <v>0.25</v>
      </c>
      <c r="AE80" s="594">
        <v>0.25</v>
      </c>
      <c r="AF80" s="594">
        <v>0.25</v>
      </c>
      <c r="AG80" s="595">
        <v>0.25</v>
      </c>
      <c r="AH80" s="1351" t="s">
        <v>731</v>
      </c>
      <c r="AI80" s="1351" t="s">
        <v>732</v>
      </c>
      <c r="AJ80" s="467"/>
      <c r="AK80" s="497"/>
      <c r="BD80" s="497"/>
      <c r="BF80" s="941"/>
      <c r="BG80" s="497"/>
    </row>
    <row r="81" spans="1:59" s="365" customFormat="1" ht="14.25" thickBot="1">
      <c r="A81" s="1105" t="s">
        <v>366</v>
      </c>
      <c r="B81" s="354" t="s">
        <v>179</v>
      </c>
      <c r="C81" s="455">
        <v>270</v>
      </c>
      <c r="D81" s="431">
        <f t="shared" si="54"/>
        <v>62.1</v>
      </c>
      <c r="E81" s="355">
        <f t="shared" si="54"/>
        <v>64.8</v>
      </c>
      <c r="F81" s="355">
        <f t="shared" si="56"/>
        <v>49.274999999999999</v>
      </c>
      <c r="G81" s="356">
        <f t="shared" si="53"/>
        <v>63.675000000000004</v>
      </c>
      <c r="H81" s="357"/>
      <c r="I81" s="358">
        <f t="shared" si="55"/>
        <v>67.5</v>
      </c>
      <c r="J81" s="359">
        <f t="shared" si="57"/>
        <v>67.5</v>
      </c>
      <c r="K81" s="359">
        <f t="shared" si="58"/>
        <v>67.5</v>
      </c>
      <c r="L81" s="366">
        <f t="shared" si="59"/>
        <v>67.5</v>
      </c>
      <c r="M81" s="480">
        <f t="shared" si="60"/>
        <v>0.94333333333333336</v>
      </c>
      <c r="N81" s="358">
        <f>성적입력!G$5/계산도구!$AA81</f>
        <v>0.98</v>
      </c>
      <c r="O81" s="359">
        <f>성적입력!H$5/계산도구!$AA81</f>
        <v>0.97</v>
      </c>
      <c r="P81" s="399">
        <f>성적입력!I$5/계산도구!$AA81</f>
        <v>0.88</v>
      </c>
      <c r="Q81" s="399">
        <f>성적입력!J$5/계산도구!$AA81</f>
        <v>0.63</v>
      </c>
      <c r="R81" s="488"/>
      <c r="S81" s="357"/>
      <c r="T81" s="360">
        <f>성적입력!D$5/계산도구!X81</f>
        <v>0.92</v>
      </c>
      <c r="U81" s="361">
        <f>성적입력!E$5/계산도구!Y81</f>
        <v>0.96</v>
      </c>
      <c r="V81" s="362">
        <f>성적입력!F$5/계산도구!Z81</f>
        <v>0.73</v>
      </c>
      <c r="W81" s="363"/>
      <c r="X81" s="364">
        <v>100</v>
      </c>
      <c r="Y81" s="365">
        <v>100</v>
      </c>
      <c r="Z81" s="365">
        <v>100</v>
      </c>
      <c r="AA81" s="365">
        <v>100</v>
      </c>
      <c r="AB81" s="353"/>
      <c r="AC81" s="357"/>
      <c r="AD81" s="582">
        <f t="shared" ref="AD81:AE83" si="61">1/4</f>
        <v>0.25</v>
      </c>
      <c r="AE81" s="583">
        <f t="shared" si="61"/>
        <v>0.25</v>
      </c>
      <c r="AF81" s="583">
        <v>0.25</v>
      </c>
      <c r="AG81" s="584">
        <v>0.25</v>
      </c>
      <c r="AH81" s="1338"/>
      <c r="AI81" s="1338"/>
      <c r="AJ81" s="357"/>
      <c r="AK81" s="364"/>
      <c r="BD81" s="364"/>
      <c r="BF81" s="931"/>
      <c r="BG81" s="364"/>
    </row>
    <row r="82" spans="1:59" s="257" customFormat="1" ht="14.25" thickBot="1">
      <c r="A82" s="1117" t="s">
        <v>367</v>
      </c>
      <c r="B82" s="335" t="s">
        <v>726</v>
      </c>
      <c r="C82" s="454">
        <v>354</v>
      </c>
      <c r="D82" s="430">
        <f>T82*I82+46</f>
        <v>127.42</v>
      </c>
      <c r="E82" s="336">
        <f t="shared" ref="E82:E97" si="62">U82*J82</f>
        <v>84.96</v>
      </c>
      <c r="F82" s="336">
        <f t="shared" si="56"/>
        <v>64.605000000000004</v>
      </c>
      <c r="G82" s="340">
        <f t="shared" si="53"/>
        <v>83.484999999999999</v>
      </c>
      <c r="H82" s="341"/>
      <c r="I82" s="338">
        <f t="shared" si="55"/>
        <v>88.5</v>
      </c>
      <c r="J82" s="339">
        <f t="shared" si="57"/>
        <v>88.5</v>
      </c>
      <c r="K82" s="339">
        <f t="shared" si="58"/>
        <v>88.5</v>
      </c>
      <c r="L82" s="349">
        <f t="shared" si="59"/>
        <v>88.5</v>
      </c>
      <c r="M82" s="337">
        <f t="shared" si="60"/>
        <v>0.94333333333333336</v>
      </c>
      <c r="N82" s="338">
        <f>성적입력!G$5/계산도구!$AA82</f>
        <v>0.98</v>
      </c>
      <c r="O82" s="339">
        <f>성적입력!H$5/계산도구!$AA82</f>
        <v>0.97</v>
      </c>
      <c r="P82" s="398">
        <f>성적입력!I$5/계산도구!$AA82</f>
        <v>0.88</v>
      </c>
      <c r="Q82" s="398">
        <f>성적입력!J$5/계산도구!$AA82</f>
        <v>0.63</v>
      </c>
      <c r="R82" s="342"/>
      <c r="S82" s="341"/>
      <c r="T82" s="343">
        <f>성적입력!D$5/계산도구!X82</f>
        <v>0.92</v>
      </c>
      <c r="U82" s="344">
        <f>성적입력!E$5/계산도구!Y82</f>
        <v>0.96</v>
      </c>
      <c r="V82" s="345">
        <f>성적입력!F$5/계산도구!Z82</f>
        <v>0.73</v>
      </c>
      <c r="W82" s="346"/>
      <c r="X82" s="347">
        <v>100</v>
      </c>
      <c r="Y82" s="257">
        <v>100</v>
      </c>
      <c r="Z82" s="257">
        <v>100</v>
      </c>
      <c r="AA82" s="257">
        <v>100</v>
      </c>
      <c r="AB82" s="348"/>
      <c r="AC82" s="341"/>
      <c r="AD82" s="579">
        <f t="shared" si="61"/>
        <v>0.25</v>
      </c>
      <c r="AE82" s="580">
        <f t="shared" si="61"/>
        <v>0.25</v>
      </c>
      <c r="AF82" s="580">
        <v>0.25</v>
      </c>
      <c r="AG82" s="581">
        <v>0.25</v>
      </c>
      <c r="AH82" s="1350" t="s">
        <v>727</v>
      </c>
      <c r="AI82" s="1350" t="s">
        <v>728</v>
      </c>
      <c r="AJ82" s="341"/>
      <c r="AK82" s="347"/>
      <c r="AL82" s="869"/>
      <c r="AM82" s="869"/>
      <c r="AN82" s="869"/>
      <c r="AO82" s="869"/>
      <c r="AP82" s="869"/>
      <c r="AQ82" s="869"/>
      <c r="AR82" s="869"/>
      <c r="AS82" s="869"/>
      <c r="AT82" s="869"/>
      <c r="AU82" s="869"/>
      <c r="AV82" s="869"/>
      <c r="AW82" s="869"/>
      <c r="AX82" s="869"/>
      <c r="AY82" s="869"/>
      <c r="AZ82" s="869"/>
      <c r="BA82" s="869"/>
      <c r="BB82" s="869"/>
      <c r="BC82" s="1220"/>
      <c r="BD82" s="347"/>
      <c r="BF82" s="940"/>
      <c r="BG82" s="347"/>
    </row>
    <row r="83" spans="1:59" s="365" customFormat="1" ht="14.25" thickBot="1">
      <c r="A83" s="1105" t="s">
        <v>368</v>
      </c>
      <c r="B83" s="354" t="s">
        <v>179</v>
      </c>
      <c r="C83" s="455">
        <v>400</v>
      </c>
      <c r="D83" s="431">
        <f t="shared" ref="D83:D98" si="63">T83*I83</f>
        <v>92</v>
      </c>
      <c r="E83" s="355">
        <f t="shared" si="62"/>
        <v>96</v>
      </c>
      <c r="F83" s="355">
        <f t="shared" si="56"/>
        <v>73</v>
      </c>
      <c r="G83" s="356">
        <f t="shared" si="53"/>
        <v>94.333333333333343</v>
      </c>
      <c r="H83" s="357"/>
      <c r="I83" s="358">
        <f t="shared" si="55"/>
        <v>100</v>
      </c>
      <c r="J83" s="359">
        <f t="shared" si="57"/>
        <v>100</v>
      </c>
      <c r="K83" s="359">
        <f t="shared" si="58"/>
        <v>100</v>
      </c>
      <c r="L83" s="366">
        <f t="shared" si="59"/>
        <v>100</v>
      </c>
      <c r="M83" s="480">
        <f t="shared" si="60"/>
        <v>0.94333333333333336</v>
      </c>
      <c r="N83" s="358">
        <f>성적입력!G$5/계산도구!$AA83</f>
        <v>0.98</v>
      </c>
      <c r="O83" s="359">
        <f>성적입력!H$5/계산도구!$AA83</f>
        <v>0.97</v>
      </c>
      <c r="P83" s="399">
        <f>성적입력!I$5/계산도구!$AA83</f>
        <v>0.88</v>
      </c>
      <c r="Q83" s="399">
        <f>성적입력!J$5/계산도구!$AA83</f>
        <v>0.63</v>
      </c>
      <c r="R83" s="488"/>
      <c r="S83" s="357"/>
      <c r="T83" s="360">
        <f>성적입력!D$5/계산도구!X83</f>
        <v>0.92</v>
      </c>
      <c r="U83" s="361">
        <f>성적입력!E$5/계산도구!Y83</f>
        <v>0.96</v>
      </c>
      <c r="V83" s="362">
        <f>성적입력!F$5/계산도구!Z83</f>
        <v>0.73</v>
      </c>
      <c r="W83" s="363"/>
      <c r="X83" s="364">
        <v>100</v>
      </c>
      <c r="Y83" s="365">
        <v>100</v>
      </c>
      <c r="Z83" s="365">
        <v>100</v>
      </c>
      <c r="AA83" s="365">
        <v>100</v>
      </c>
      <c r="AB83" s="353"/>
      <c r="AC83" s="357"/>
      <c r="AD83" s="582">
        <f t="shared" si="61"/>
        <v>0.25</v>
      </c>
      <c r="AE83" s="583">
        <f t="shared" si="61"/>
        <v>0.25</v>
      </c>
      <c r="AF83" s="583">
        <v>0.25</v>
      </c>
      <c r="AG83" s="584">
        <v>0.25</v>
      </c>
      <c r="AH83" s="1338"/>
      <c r="AI83" s="1338"/>
      <c r="AJ83" s="357"/>
      <c r="AK83" s="364"/>
      <c r="BD83" s="364"/>
      <c r="BF83" s="931"/>
      <c r="BG83" s="364"/>
    </row>
    <row r="84" spans="1:59" s="165" customFormat="1" ht="14.25" thickBot="1">
      <c r="A84" s="1086" t="s">
        <v>369</v>
      </c>
      <c r="B84" s="243" t="s">
        <v>59</v>
      </c>
      <c r="C84" s="908">
        <v>600</v>
      </c>
      <c r="D84" s="414">
        <f t="shared" si="63"/>
        <v>133.92857142857144</v>
      </c>
      <c r="E84" s="244">
        <f t="shared" si="62"/>
        <v>144</v>
      </c>
      <c r="F84" s="244">
        <f t="shared" si="56"/>
        <v>121.47887323943662</v>
      </c>
      <c r="G84" s="350">
        <f t="shared" si="53"/>
        <v>146.25</v>
      </c>
      <c r="H84" s="249"/>
      <c r="I84" s="246">
        <f t="shared" si="55"/>
        <v>150</v>
      </c>
      <c r="J84" s="247">
        <f t="shared" si="57"/>
        <v>150</v>
      </c>
      <c r="K84" s="247">
        <f t="shared" si="58"/>
        <v>150</v>
      </c>
      <c r="L84" s="248">
        <f t="shared" si="59"/>
        <v>150</v>
      </c>
      <c r="M84" s="245">
        <f>(LARGE(N84:R84,1)+LARGE(N84:R84,2))/2</f>
        <v>0.97499999999999998</v>
      </c>
      <c r="N84" s="246">
        <f>성적입력!G$5/계산도구!$AA84</f>
        <v>0.98</v>
      </c>
      <c r="O84" s="247">
        <f>성적입력!H$5/계산도구!$AA84</f>
        <v>0.97</v>
      </c>
      <c r="P84" s="403">
        <f>성적입력!I$5/계산도구!$AA84</f>
        <v>0.88</v>
      </c>
      <c r="Q84" s="403">
        <f>성적입력!J$5/계산도구!$AA84</f>
        <v>0.63</v>
      </c>
      <c r="R84" s="351"/>
      <c r="S84" s="249"/>
      <c r="T84" s="250">
        <f>성적입력!D$4/계산도구!X84</f>
        <v>0.8928571428571429</v>
      </c>
      <c r="U84" s="293">
        <f>성적입력!E$5/계산도구!Y84</f>
        <v>0.96</v>
      </c>
      <c r="V84" s="352">
        <f>성적입력!F$4/계산도구!Z84</f>
        <v>0.8098591549295775</v>
      </c>
      <c r="W84" s="251"/>
      <c r="X84" s="253">
        <f>AK$2</f>
        <v>140</v>
      </c>
      <c r="Y84" s="165">
        <v>100</v>
      </c>
      <c r="Z84" s="165">
        <f>AM$2</f>
        <v>142</v>
      </c>
      <c r="AA84" s="165">
        <v>100</v>
      </c>
      <c r="AB84" s="252">
        <v>100</v>
      </c>
      <c r="AC84" s="249"/>
      <c r="AD84" s="531">
        <v>0.25</v>
      </c>
      <c r="AE84" s="532">
        <v>0.25</v>
      </c>
      <c r="AF84" s="532">
        <v>0.25</v>
      </c>
      <c r="AG84" s="533">
        <v>0.25</v>
      </c>
      <c r="AH84" s="1318"/>
      <c r="AI84" s="1318"/>
      <c r="AJ84" s="249"/>
      <c r="AK84" s="253"/>
      <c r="BD84" s="253"/>
      <c r="BF84" s="942"/>
      <c r="BG84" s="253"/>
    </row>
    <row r="85" spans="1:59" s="365" customFormat="1" ht="14.25" thickBot="1">
      <c r="A85" s="1105" t="s">
        <v>370</v>
      </c>
      <c r="B85" s="354" t="s">
        <v>179</v>
      </c>
      <c r="C85" s="455">
        <v>400</v>
      </c>
      <c r="D85" s="431">
        <f t="shared" si="63"/>
        <v>92</v>
      </c>
      <c r="E85" s="355">
        <f t="shared" si="62"/>
        <v>96</v>
      </c>
      <c r="F85" s="355">
        <f t="shared" si="56"/>
        <v>73</v>
      </c>
      <c r="G85" s="356">
        <f t="shared" si="53"/>
        <v>97.5</v>
      </c>
      <c r="H85" s="357"/>
      <c r="I85" s="358">
        <f t="shared" si="55"/>
        <v>100</v>
      </c>
      <c r="J85" s="359">
        <f t="shared" si="57"/>
        <v>100</v>
      </c>
      <c r="K85" s="359">
        <f t="shared" si="58"/>
        <v>100</v>
      </c>
      <c r="L85" s="366">
        <f t="shared" si="59"/>
        <v>100</v>
      </c>
      <c r="M85" s="480">
        <f>(LARGE(N85:R85,1)+LARGE(N85:R85,2))/2</f>
        <v>0.97499999999999998</v>
      </c>
      <c r="N85" s="358">
        <f>성적입력!G$5/계산도구!$AA85</f>
        <v>0.98</v>
      </c>
      <c r="O85" s="359">
        <f>성적입력!H$5/계산도구!$AA85</f>
        <v>0.97</v>
      </c>
      <c r="P85" s="399">
        <f>성적입력!I$5/계산도구!$AA85</f>
        <v>0.88</v>
      </c>
      <c r="Q85" s="399">
        <f>성적입력!J$5/계산도구!$AA85</f>
        <v>0.63</v>
      </c>
      <c r="R85" s="488"/>
      <c r="S85" s="357"/>
      <c r="T85" s="360">
        <f>성적입력!D$5/계산도구!X85</f>
        <v>0.92</v>
      </c>
      <c r="U85" s="361">
        <f>성적입력!E$5/계산도구!Y85</f>
        <v>0.96</v>
      </c>
      <c r="V85" s="362">
        <f>성적입력!F$5/계산도구!Z85</f>
        <v>0.73</v>
      </c>
      <c r="W85" s="363"/>
      <c r="X85" s="364">
        <v>100</v>
      </c>
      <c r="Y85" s="365">
        <v>100</v>
      </c>
      <c r="Z85" s="365">
        <v>100</v>
      </c>
      <c r="AA85" s="365">
        <v>100</v>
      </c>
      <c r="AB85" s="353"/>
      <c r="AC85" s="357"/>
      <c r="AD85" s="582">
        <f>1/4</f>
        <v>0.25</v>
      </c>
      <c r="AE85" s="583">
        <f>1/4</f>
        <v>0.25</v>
      </c>
      <c r="AF85" s="583">
        <v>0.25</v>
      </c>
      <c r="AG85" s="584">
        <v>0.25</v>
      </c>
      <c r="AH85" s="1338"/>
      <c r="AI85" s="1338"/>
      <c r="AJ85" s="357"/>
      <c r="AK85" s="364"/>
      <c r="BD85" s="364"/>
      <c r="BF85" s="931"/>
      <c r="BG85" s="364"/>
    </row>
    <row r="86" spans="1:59" s="382" customFormat="1" ht="14.25" thickBot="1">
      <c r="A86" s="1118" t="s">
        <v>371</v>
      </c>
      <c r="B86" s="411" t="s">
        <v>179</v>
      </c>
      <c r="C86" s="458">
        <v>400</v>
      </c>
      <c r="D86" s="435">
        <f t="shared" si="63"/>
        <v>62.5</v>
      </c>
      <c r="E86" s="400">
        <f t="shared" si="62"/>
        <v>69.5</v>
      </c>
      <c r="F86" s="400">
        <f t="shared" si="56"/>
        <v>57.499999999999993</v>
      </c>
      <c r="G86" s="461">
        <f t="shared" si="53"/>
        <v>62.749999999999993</v>
      </c>
      <c r="H86" s="467"/>
      <c r="I86" s="464">
        <f t="shared" si="55"/>
        <v>100</v>
      </c>
      <c r="J86" s="401">
        <f t="shared" si="57"/>
        <v>100</v>
      </c>
      <c r="K86" s="401">
        <f t="shared" si="58"/>
        <v>100</v>
      </c>
      <c r="L86" s="469">
        <f t="shared" si="59"/>
        <v>100</v>
      </c>
      <c r="M86" s="484">
        <f>(N86+O86+P86+Q86)/4</f>
        <v>0.62749999999999995</v>
      </c>
      <c r="N86" s="464">
        <f>성적입력!G$4/$AA86</f>
        <v>0.68</v>
      </c>
      <c r="O86" s="401">
        <f>성적입력!H$4/$AA86</f>
        <v>0.66</v>
      </c>
      <c r="P86" s="401">
        <f>성적입력!I$4/$AA86</f>
        <v>0.62</v>
      </c>
      <c r="Q86" s="401">
        <f>성적입력!J$4/$AA86</f>
        <v>0.55000000000000004</v>
      </c>
      <c r="R86" s="489"/>
      <c r="S86" s="467"/>
      <c r="T86" s="493">
        <f>성적입력!D$4/계산도구!X86</f>
        <v>0.625</v>
      </c>
      <c r="U86" s="402">
        <f>성적입력!E$4/계산도구!Y86</f>
        <v>0.69499999999999995</v>
      </c>
      <c r="V86" s="495">
        <f>성적입력!F$4/계산도구!Z86</f>
        <v>0.57499999999999996</v>
      </c>
      <c r="W86" s="499"/>
      <c r="X86" s="497">
        <v>200</v>
      </c>
      <c r="Y86" s="382">
        <v>200</v>
      </c>
      <c r="Z86" s="382">
        <v>200</v>
      </c>
      <c r="AA86" s="382">
        <v>100</v>
      </c>
      <c r="AB86" s="501"/>
      <c r="AC86" s="467"/>
      <c r="AD86" s="593">
        <v>0.25</v>
      </c>
      <c r="AE86" s="594">
        <v>0.25</v>
      </c>
      <c r="AF86" s="594">
        <v>0.25</v>
      </c>
      <c r="AG86" s="595">
        <v>0.25</v>
      </c>
      <c r="AH86" s="1351" t="s">
        <v>731</v>
      </c>
      <c r="AI86" s="1351"/>
      <c r="AJ86" s="467"/>
      <c r="AK86" s="497"/>
      <c r="BD86" s="497"/>
      <c r="BF86" s="941"/>
      <c r="BG86" s="497"/>
    </row>
    <row r="87" spans="1:59" s="382" customFormat="1" ht="14.25" thickBot="1">
      <c r="A87" s="1119" t="s">
        <v>372</v>
      </c>
      <c r="B87" s="411" t="s">
        <v>179</v>
      </c>
      <c r="C87" s="458">
        <v>800</v>
      </c>
      <c r="D87" s="435">
        <f t="shared" si="63"/>
        <v>125</v>
      </c>
      <c r="E87" s="400">
        <f t="shared" si="62"/>
        <v>139</v>
      </c>
      <c r="F87" s="400">
        <f t="shared" si="56"/>
        <v>114.99999999999999</v>
      </c>
      <c r="G87" s="461">
        <f t="shared" si="53"/>
        <v>134</v>
      </c>
      <c r="H87" s="467"/>
      <c r="I87" s="464">
        <f t="shared" si="55"/>
        <v>200</v>
      </c>
      <c r="J87" s="401">
        <f t="shared" si="57"/>
        <v>200</v>
      </c>
      <c r="K87" s="401">
        <f t="shared" si="58"/>
        <v>200</v>
      </c>
      <c r="L87" s="469">
        <f t="shared" si="59"/>
        <v>200</v>
      </c>
      <c r="M87" s="484">
        <f>(LARGE(N87:R87,1)+LARGE(N87:R87,2))/2</f>
        <v>0.67</v>
      </c>
      <c r="N87" s="464">
        <f>성적입력!G$4/$AA87</f>
        <v>0.68</v>
      </c>
      <c r="O87" s="401">
        <f>성적입력!H$4/$AA87</f>
        <v>0.66</v>
      </c>
      <c r="P87" s="401">
        <f>성적입력!I$4/$AA87</f>
        <v>0.62</v>
      </c>
      <c r="Q87" s="401">
        <f>성적입력!J$4/$AA87</f>
        <v>0.55000000000000004</v>
      </c>
      <c r="R87" s="489"/>
      <c r="S87" s="467"/>
      <c r="T87" s="493">
        <f>성적입력!D$4/계산도구!X87</f>
        <v>0.625</v>
      </c>
      <c r="U87" s="402">
        <f>성적입력!E$4/계산도구!Y87</f>
        <v>0.69499999999999995</v>
      </c>
      <c r="V87" s="495">
        <f>성적입력!F$4/계산도구!Z87</f>
        <v>0.57499999999999996</v>
      </c>
      <c r="W87" s="499"/>
      <c r="X87" s="497">
        <v>200</v>
      </c>
      <c r="Y87" s="382">
        <v>200</v>
      </c>
      <c r="Z87" s="382">
        <v>200</v>
      </c>
      <c r="AA87" s="382">
        <v>100</v>
      </c>
      <c r="AB87" s="501"/>
      <c r="AC87" s="467"/>
      <c r="AD87" s="593">
        <v>0.25</v>
      </c>
      <c r="AE87" s="594">
        <v>0.25</v>
      </c>
      <c r="AF87" s="594">
        <v>0.25</v>
      </c>
      <c r="AG87" s="595">
        <v>0.25</v>
      </c>
      <c r="AH87" s="1351" t="s">
        <v>731</v>
      </c>
      <c r="AI87" s="1351" t="s">
        <v>732</v>
      </c>
      <c r="AJ87" s="467"/>
      <c r="AK87" s="497"/>
      <c r="BD87" s="497"/>
      <c r="BF87" s="941"/>
      <c r="BG87" s="497"/>
    </row>
    <row r="88" spans="1:59" s="726" customFormat="1" ht="14.25" thickBot="1">
      <c r="A88" s="1120" t="s">
        <v>373</v>
      </c>
      <c r="B88" s="709" t="s">
        <v>179</v>
      </c>
      <c r="C88" s="710">
        <v>450</v>
      </c>
      <c r="D88" s="711">
        <f t="shared" si="63"/>
        <v>115.92000000000002</v>
      </c>
      <c r="E88" s="712">
        <f t="shared" si="62"/>
        <v>120.96000000000001</v>
      </c>
      <c r="F88" s="712">
        <f t="shared" si="56"/>
        <v>91.98</v>
      </c>
      <c r="G88" s="713">
        <f t="shared" si="53"/>
        <v>70.2</v>
      </c>
      <c r="H88" s="714"/>
      <c r="I88" s="715">
        <f t="shared" si="55"/>
        <v>126.00000000000001</v>
      </c>
      <c r="J88" s="716">
        <f t="shared" si="57"/>
        <v>126.00000000000001</v>
      </c>
      <c r="K88" s="716">
        <f t="shared" si="58"/>
        <v>126.00000000000001</v>
      </c>
      <c r="L88" s="717">
        <f t="shared" si="59"/>
        <v>72</v>
      </c>
      <c r="M88" s="718">
        <f>(LARGE(N88:R88,1)+LARGE(N88:R88,2))/2</f>
        <v>0.97499999999999998</v>
      </c>
      <c r="N88" s="715">
        <f>성적입력!G$5/계산도구!$AA88</f>
        <v>0.98</v>
      </c>
      <c r="O88" s="716">
        <f>성적입력!H$5/계산도구!$AA88</f>
        <v>0.97</v>
      </c>
      <c r="P88" s="719">
        <f>성적입력!I$5/계산도구!$AA88</f>
        <v>0.88</v>
      </c>
      <c r="Q88" s="719">
        <f>성적입력!J$5/계산도구!$AA88</f>
        <v>0.63</v>
      </c>
      <c r="R88" s="720"/>
      <c r="S88" s="714"/>
      <c r="T88" s="721">
        <f>성적입력!D$5/계산도구!X88</f>
        <v>0.92</v>
      </c>
      <c r="U88" s="722">
        <f>성적입력!E$5/계산도구!Y88</f>
        <v>0.96</v>
      </c>
      <c r="V88" s="723">
        <f>성적입력!F$5/계산도구!Z88</f>
        <v>0.73</v>
      </c>
      <c r="W88" s="724"/>
      <c r="X88" s="725">
        <v>100</v>
      </c>
      <c r="Y88" s="726">
        <v>100</v>
      </c>
      <c r="Z88" s="726">
        <v>100</v>
      </c>
      <c r="AA88" s="726">
        <v>100</v>
      </c>
      <c r="AB88" s="727"/>
      <c r="AC88" s="714"/>
      <c r="AD88" s="728">
        <v>0.28000000000000003</v>
      </c>
      <c r="AE88" s="728">
        <v>0.28000000000000003</v>
      </c>
      <c r="AF88" s="728">
        <v>0.28000000000000003</v>
      </c>
      <c r="AG88" s="729">
        <f>8/50</f>
        <v>0.16</v>
      </c>
      <c r="AH88" s="1352"/>
      <c r="AI88" s="1352"/>
      <c r="AJ88" s="714"/>
      <c r="AK88" s="725"/>
      <c r="BD88" s="725"/>
      <c r="BF88" s="943"/>
      <c r="BG88" s="725"/>
    </row>
    <row r="89" spans="1:59" s="19" customFormat="1">
      <c r="A89" s="1092" t="s">
        <v>374</v>
      </c>
      <c r="B89" s="207" t="s">
        <v>179</v>
      </c>
      <c r="C89" s="685">
        <v>1000</v>
      </c>
      <c r="D89" s="419">
        <f t="shared" si="63"/>
        <v>368</v>
      </c>
      <c r="E89" s="182">
        <f t="shared" si="62"/>
        <v>0</v>
      </c>
      <c r="F89" s="182">
        <f t="shared" si="56"/>
        <v>292</v>
      </c>
      <c r="G89" s="183">
        <f t="shared" si="53"/>
        <v>196</v>
      </c>
      <c r="H89" s="46"/>
      <c r="I89" s="37">
        <f t="shared" si="55"/>
        <v>400</v>
      </c>
      <c r="J89" s="22">
        <f t="shared" si="57"/>
        <v>0</v>
      </c>
      <c r="K89" s="22">
        <f t="shared" si="58"/>
        <v>400</v>
      </c>
      <c r="L89" s="171">
        <f t="shared" si="59"/>
        <v>200</v>
      </c>
      <c r="M89" s="472">
        <f>(LARGE(N89:R89,1))</f>
        <v>0.98</v>
      </c>
      <c r="N89" s="37">
        <f>성적입력!G$5/계산도구!$AA89</f>
        <v>0.98</v>
      </c>
      <c r="O89" s="22">
        <f>성적입력!H$5/계산도구!$AA89</f>
        <v>0.97</v>
      </c>
      <c r="P89" s="22">
        <f>성적입력!I$5/계산도구!$AA89</f>
        <v>0.88</v>
      </c>
      <c r="Q89" s="22">
        <f>성적입력!J$5/계산도구!$AA89</f>
        <v>0.63</v>
      </c>
      <c r="R89" s="62"/>
      <c r="S89" s="46"/>
      <c r="T89" s="67">
        <f>성적입력!D$5/계산도구!X89</f>
        <v>0.92</v>
      </c>
      <c r="U89" s="21">
        <f>성적입력!E$5/계산도구!Y89</f>
        <v>0.96</v>
      </c>
      <c r="V89" s="32">
        <f>성적입력!F$5/계산도구!Z89</f>
        <v>0.73</v>
      </c>
      <c r="W89" s="72"/>
      <c r="X89" s="57">
        <v>100</v>
      </c>
      <c r="Y89" s="19">
        <v>100</v>
      </c>
      <c r="Z89" s="19">
        <v>100</v>
      </c>
      <c r="AA89" s="19">
        <v>100</v>
      </c>
      <c r="AB89" s="77"/>
      <c r="AC89" s="46"/>
      <c r="AD89" s="546">
        <v>0.4</v>
      </c>
      <c r="AE89" s="547"/>
      <c r="AF89" s="547">
        <v>0.4</v>
      </c>
      <c r="AG89" s="548">
        <v>0.2</v>
      </c>
      <c r="AH89" s="1324"/>
      <c r="AI89" s="1324"/>
      <c r="AJ89" s="46"/>
      <c r="AK89" s="57"/>
      <c r="BD89" s="57"/>
      <c r="BF89" s="912"/>
      <c r="BG89" s="57"/>
    </row>
    <row r="90" spans="1:59" s="20" customFormat="1" ht="14.25" thickBot="1">
      <c r="A90" s="1094" t="s">
        <v>375</v>
      </c>
      <c r="B90" s="209" t="s">
        <v>178</v>
      </c>
      <c r="C90" s="686">
        <v>1000</v>
      </c>
      <c r="D90" s="421">
        <f t="shared" si="63"/>
        <v>0</v>
      </c>
      <c r="E90" s="186">
        <f t="shared" si="62"/>
        <v>384</v>
      </c>
      <c r="F90" s="186">
        <f t="shared" si="56"/>
        <v>292</v>
      </c>
      <c r="G90" s="187">
        <f t="shared" si="53"/>
        <v>196</v>
      </c>
      <c r="H90" s="48"/>
      <c r="I90" s="39">
        <f t="shared" si="55"/>
        <v>0</v>
      </c>
      <c r="J90" s="25">
        <f t="shared" si="57"/>
        <v>400</v>
      </c>
      <c r="K90" s="25">
        <f t="shared" si="58"/>
        <v>400</v>
      </c>
      <c r="L90" s="173">
        <f t="shared" si="59"/>
        <v>200</v>
      </c>
      <c r="M90" s="474">
        <f>(LARGE(N90:R90,1))</f>
        <v>0.98</v>
      </c>
      <c r="N90" s="39">
        <f>성적입력!G$5/계산도구!$AA90</f>
        <v>0.98</v>
      </c>
      <c r="O90" s="25">
        <f>성적입력!H$5/계산도구!$AA90</f>
        <v>0.97</v>
      </c>
      <c r="P90" s="25">
        <f>성적입력!I$5/계산도구!$AA90</f>
        <v>0.88</v>
      </c>
      <c r="Q90" s="25">
        <f>성적입력!J$5/계산도구!$AA90</f>
        <v>0.63</v>
      </c>
      <c r="R90" s="64"/>
      <c r="S90" s="48"/>
      <c r="T90" s="69">
        <f>성적입력!D$5/계산도구!X90</f>
        <v>0.92</v>
      </c>
      <c r="U90" s="24">
        <f>성적입력!E$5/계산도구!Y90</f>
        <v>0.96</v>
      </c>
      <c r="V90" s="34">
        <f>성적입력!F$5/계산도구!Z90</f>
        <v>0.73</v>
      </c>
      <c r="W90" s="74"/>
      <c r="X90" s="59">
        <v>100</v>
      </c>
      <c r="Y90" s="20">
        <v>100</v>
      </c>
      <c r="Z90" s="20">
        <v>100</v>
      </c>
      <c r="AA90" s="20">
        <v>100</v>
      </c>
      <c r="AB90" s="79"/>
      <c r="AC90" s="48"/>
      <c r="AD90" s="552"/>
      <c r="AE90" s="553">
        <v>0.4</v>
      </c>
      <c r="AF90" s="553">
        <v>0.4</v>
      </c>
      <c r="AG90" s="554">
        <v>0.2</v>
      </c>
      <c r="AH90" s="1326" t="s">
        <v>743</v>
      </c>
      <c r="AI90" s="1326" t="s">
        <v>744</v>
      </c>
      <c r="AJ90" s="48"/>
      <c r="AK90" s="59"/>
      <c r="BD90" s="59"/>
      <c r="BF90" s="913"/>
      <c r="BG90" s="59"/>
    </row>
    <row r="91" spans="1:59" s="365" customFormat="1" ht="14.25" thickBot="1">
      <c r="A91" s="1105" t="s">
        <v>376</v>
      </c>
      <c r="B91" s="354" t="s">
        <v>193</v>
      </c>
      <c r="C91" s="455">
        <v>800</v>
      </c>
      <c r="D91" s="431">
        <f t="shared" si="63"/>
        <v>184</v>
      </c>
      <c r="E91" s="355">
        <f t="shared" si="62"/>
        <v>192</v>
      </c>
      <c r="F91" s="355">
        <f t="shared" si="56"/>
        <v>146</v>
      </c>
      <c r="G91" s="356">
        <f t="shared" si="53"/>
        <v>195</v>
      </c>
      <c r="H91" s="357"/>
      <c r="I91" s="358">
        <f t="shared" si="55"/>
        <v>200</v>
      </c>
      <c r="J91" s="359">
        <f t="shared" si="57"/>
        <v>200</v>
      </c>
      <c r="K91" s="359">
        <f t="shared" si="58"/>
        <v>200</v>
      </c>
      <c r="L91" s="366">
        <f t="shared" si="59"/>
        <v>200</v>
      </c>
      <c r="M91" s="337">
        <f>(LARGE(N91:R91,1)+LARGE(N91:R91,2))/2</f>
        <v>0.97499999999999998</v>
      </c>
      <c r="N91" s="338">
        <f>성적입력!G$5/계산도구!$AA91</f>
        <v>0.98</v>
      </c>
      <c r="O91" s="339">
        <f>성적입력!H$5/계산도구!$AA91</f>
        <v>0.97</v>
      </c>
      <c r="P91" s="398">
        <f>성적입력!I$5/계산도구!$AA91</f>
        <v>0.88</v>
      </c>
      <c r="Q91" s="398">
        <f>성적입력!J$5/계산도구!$AA91</f>
        <v>0.63</v>
      </c>
      <c r="R91" s="488"/>
      <c r="S91" s="357"/>
      <c r="T91" s="360">
        <f>성적입력!D$5/계산도구!X91</f>
        <v>0.92</v>
      </c>
      <c r="U91" s="361">
        <f>성적입력!E$5/계산도구!Y91</f>
        <v>0.96</v>
      </c>
      <c r="V91" s="362">
        <f>성적입력!F$5/계산도구!Z91</f>
        <v>0.73</v>
      </c>
      <c r="W91" s="363"/>
      <c r="X91" s="364">
        <v>100</v>
      </c>
      <c r="Y91" s="365">
        <v>100</v>
      </c>
      <c r="Z91" s="365">
        <v>100</v>
      </c>
      <c r="AA91" s="365">
        <v>100</v>
      </c>
      <c r="AB91" s="353"/>
      <c r="AC91" s="357"/>
      <c r="AD91" s="582">
        <v>0.25</v>
      </c>
      <c r="AE91" s="583">
        <v>0.25</v>
      </c>
      <c r="AF91" s="583">
        <v>0.25</v>
      </c>
      <c r="AG91" s="584">
        <v>0.25</v>
      </c>
      <c r="AH91" s="1338"/>
      <c r="AI91" s="1338"/>
      <c r="AJ91" s="357"/>
      <c r="AK91" s="364"/>
      <c r="BD91" s="364"/>
      <c r="BF91" s="931"/>
      <c r="BG91" s="364"/>
    </row>
    <row r="92" spans="1:59" s="981" customFormat="1" ht="14.25" thickBot="1">
      <c r="A92" s="1121" t="s">
        <v>377</v>
      </c>
      <c r="B92" s="515" t="s">
        <v>193</v>
      </c>
      <c r="C92" s="516">
        <v>700</v>
      </c>
      <c r="D92" s="517">
        <f t="shared" si="63"/>
        <v>156.25</v>
      </c>
      <c r="E92" s="518">
        <f t="shared" si="62"/>
        <v>165.47619047619048</v>
      </c>
      <c r="F92" s="518">
        <f t="shared" si="56"/>
        <v>141.72535211267606</v>
      </c>
      <c r="G92" s="519">
        <f t="shared" si="53"/>
        <v>168.69565217391303</v>
      </c>
      <c r="H92" s="520"/>
      <c r="I92" s="521">
        <f t="shared" si="55"/>
        <v>175</v>
      </c>
      <c r="J92" s="522">
        <f t="shared" si="57"/>
        <v>175</v>
      </c>
      <c r="K92" s="522">
        <f t="shared" si="58"/>
        <v>175</v>
      </c>
      <c r="L92" s="523">
        <f t="shared" si="59"/>
        <v>175</v>
      </c>
      <c r="M92" s="530">
        <f>(LARGE(N92:R92,1)+LARGE(N92:R92,2))/2</f>
        <v>0.96397515527950306</v>
      </c>
      <c r="N92" s="521">
        <f>IF(성적입력!G$3=0,0,성적입력!G$4/HLOOKUP(성적입력!G$3,계산도구!$AN$1:$BZ$3,2,FALSE))</f>
        <v>0.97142857142857142</v>
      </c>
      <c r="O92" s="522">
        <f>IF(성적입력!H$3=0,0,성적입력!H$4/HLOOKUP(성적입력!H$3,계산도구!$AN$1:$BZ$3,2,FALSE))</f>
        <v>0.95652173913043481</v>
      </c>
      <c r="P92" s="1056">
        <f>IF(성적입력!I$3=0,0,성적입력!I$4/HLOOKUP(성적입력!I$3,계산도구!$AN$1:$BZ$3,2,FALSE))</f>
        <v>0.81578947368421051</v>
      </c>
      <c r="Q92" s="1056">
        <f>IF(성적입력!J$3=0,0,성적입력!J$4/HLOOKUP(성적입력!J$3,계산도구!$AN$1:$BZ$3,2,FALSE))</f>
        <v>0.79710144927536231</v>
      </c>
      <c r="R92" s="1057"/>
      <c r="S92" s="520"/>
      <c r="T92" s="524">
        <f>성적입력!D$4/계산도구!X92</f>
        <v>0.8928571428571429</v>
      </c>
      <c r="U92" s="525">
        <f>성적입력!E$4/계산도구!Y92</f>
        <v>0.94557823129251706</v>
      </c>
      <c r="V92" s="526">
        <f>성적입력!F$4/계산도구!Z92</f>
        <v>0.8098591549295775</v>
      </c>
      <c r="W92" s="527"/>
      <c r="X92" s="528">
        <f>AK$2</f>
        <v>140</v>
      </c>
      <c r="Y92" s="981">
        <f>AL$2</f>
        <v>147</v>
      </c>
      <c r="Z92" s="981">
        <f>AM$2</f>
        <v>142</v>
      </c>
      <c r="AB92" s="529"/>
      <c r="AC92" s="520"/>
      <c r="AD92" s="1058">
        <v>0.25</v>
      </c>
      <c r="AE92" s="1059">
        <v>0.25</v>
      </c>
      <c r="AF92" s="1059">
        <v>0.25</v>
      </c>
      <c r="AG92" s="1060">
        <v>0.25</v>
      </c>
      <c r="AH92" s="1353" t="s">
        <v>745</v>
      </c>
      <c r="AI92" s="1353"/>
      <c r="AJ92" s="520"/>
      <c r="AK92" s="528"/>
      <c r="BC92" s="1223"/>
      <c r="BD92" s="528"/>
      <c r="BF92" s="1224"/>
      <c r="BG92" s="528"/>
    </row>
    <row r="93" spans="1:59" s="404" customFormat="1" ht="14.25" thickBot="1">
      <c r="A93" s="1113" t="s">
        <v>378</v>
      </c>
      <c r="B93" s="412" t="s">
        <v>193</v>
      </c>
      <c r="C93" s="459">
        <v>600</v>
      </c>
      <c r="D93" s="436">
        <f t="shared" si="63"/>
        <v>93.75</v>
      </c>
      <c r="E93" s="405">
        <f t="shared" si="62"/>
        <v>104.24999999999999</v>
      </c>
      <c r="F93" s="405">
        <f t="shared" si="56"/>
        <v>86.25</v>
      </c>
      <c r="G93" s="462">
        <f t="shared" si="53"/>
        <v>98</v>
      </c>
      <c r="H93" s="468"/>
      <c r="I93" s="465">
        <f t="shared" si="55"/>
        <v>150</v>
      </c>
      <c r="J93" s="406">
        <f t="shared" si="57"/>
        <v>150</v>
      </c>
      <c r="K93" s="406">
        <f t="shared" si="58"/>
        <v>150</v>
      </c>
      <c r="L93" s="470">
        <f t="shared" si="59"/>
        <v>150</v>
      </c>
      <c r="M93" s="485">
        <f>(LARGE(N93:R93,1)+LARGE(N93:R93,2)+LARGE(N93:R93,3))/3</f>
        <v>0.65333333333333332</v>
      </c>
      <c r="N93" s="465">
        <f>성적입력!G$4/$AA93</f>
        <v>0.68</v>
      </c>
      <c r="O93" s="406">
        <f>성적입력!H$4/$AA93</f>
        <v>0.66</v>
      </c>
      <c r="P93" s="406">
        <f>성적입력!I$4/$AA93</f>
        <v>0.62</v>
      </c>
      <c r="Q93" s="406">
        <f>성적입력!J$4/$AA93</f>
        <v>0.55000000000000004</v>
      </c>
      <c r="R93" s="490"/>
      <c r="S93" s="468"/>
      <c r="T93" s="494">
        <f>성적입력!D$4/계산도구!X93</f>
        <v>0.625</v>
      </c>
      <c r="U93" s="407">
        <f>성적입력!E$4/계산도구!Y93</f>
        <v>0.69499999999999995</v>
      </c>
      <c r="V93" s="496">
        <f>성적입력!F$4/계산도구!Z93</f>
        <v>0.57499999999999996</v>
      </c>
      <c r="W93" s="500"/>
      <c r="X93" s="498">
        <v>200</v>
      </c>
      <c r="Y93" s="404">
        <v>200</v>
      </c>
      <c r="Z93" s="404">
        <v>200</v>
      </c>
      <c r="AA93" s="404">
        <v>100</v>
      </c>
      <c r="AB93" s="409"/>
      <c r="AC93" s="468"/>
      <c r="AD93" s="596">
        <v>0.25</v>
      </c>
      <c r="AE93" s="597">
        <v>0.25</v>
      </c>
      <c r="AF93" s="597">
        <v>0.25</v>
      </c>
      <c r="AG93" s="598">
        <v>0.25</v>
      </c>
      <c r="AH93" s="1345"/>
      <c r="AI93" s="1345"/>
      <c r="AJ93" s="468"/>
      <c r="AK93" s="498"/>
      <c r="BD93" s="498"/>
      <c r="BF93" s="938"/>
      <c r="BG93" s="498"/>
    </row>
    <row r="94" spans="1:59" s="257" customFormat="1" ht="14.25" thickBot="1">
      <c r="A94" s="1117" t="s">
        <v>379</v>
      </c>
      <c r="B94" s="335" t="s">
        <v>193</v>
      </c>
      <c r="C94" s="454">
        <v>600</v>
      </c>
      <c r="D94" s="430">
        <f t="shared" si="63"/>
        <v>138</v>
      </c>
      <c r="E94" s="336">
        <f t="shared" si="62"/>
        <v>144</v>
      </c>
      <c r="F94" s="336">
        <f t="shared" si="56"/>
        <v>109.5</v>
      </c>
      <c r="G94" s="340">
        <f t="shared" si="53"/>
        <v>146.25</v>
      </c>
      <c r="H94" s="341"/>
      <c r="I94" s="338">
        <f t="shared" si="55"/>
        <v>150</v>
      </c>
      <c r="J94" s="339">
        <f t="shared" si="57"/>
        <v>150</v>
      </c>
      <c r="K94" s="339">
        <f t="shared" si="58"/>
        <v>150</v>
      </c>
      <c r="L94" s="349">
        <f t="shared" si="59"/>
        <v>150</v>
      </c>
      <c r="M94" s="337">
        <f>(LARGE(N94:R94,1)+LARGE(N94:R94,2))/2</f>
        <v>0.97499999999999998</v>
      </c>
      <c r="N94" s="338">
        <f>성적입력!G$5/계산도구!$AA94</f>
        <v>0.98</v>
      </c>
      <c r="O94" s="339">
        <f>성적입력!H$5/계산도구!$AA94</f>
        <v>0.97</v>
      </c>
      <c r="P94" s="398">
        <f>성적입력!I$5/계산도구!$AA94</f>
        <v>0.88</v>
      </c>
      <c r="Q94" s="398">
        <f>성적입력!J$5/계산도구!$AA94</f>
        <v>0.63</v>
      </c>
      <c r="R94" s="342"/>
      <c r="S94" s="341"/>
      <c r="T94" s="343">
        <f>성적입력!D$5/계산도구!X94</f>
        <v>0.92</v>
      </c>
      <c r="U94" s="344">
        <f>성적입력!E$5/계산도구!Y94</f>
        <v>0.96</v>
      </c>
      <c r="V94" s="345">
        <f>성적입력!F$5/계산도구!Z94</f>
        <v>0.73</v>
      </c>
      <c r="W94" s="346"/>
      <c r="X94" s="347">
        <v>100</v>
      </c>
      <c r="Y94" s="257">
        <v>100</v>
      </c>
      <c r="Z94" s="257">
        <v>100</v>
      </c>
      <c r="AA94" s="257">
        <v>100</v>
      </c>
      <c r="AB94" s="348"/>
      <c r="AC94" s="341"/>
      <c r="AD94" s="579">
        <v>0.25</v>
      </c>
      <c r="AE94" s="580">
        <v>0.25</v>
      </c>
      <c r="AF94" s="580">
        <v>0.25</v>
      </c>
      <c r="AG94" s="581">
        <v>0.25</v>
      </c>
      <c r="AH94" s="1350" t="s">
        <v>740</v>
      </c>
      <c r="AI94" s="1350"/>
      <c r="AJ94" s="341"/>
      <c r="AK94" s="347"/>
      <c r="AL94" s="869"/>
      <c r="AM94" s="869"/>
      <c r="AN94" s="869"/>
      <c r="AO94" s="869"/>
      <c r="AP94" s="869"/>
      <c r="AQ94" s="869"/>
      <c r="AR94" s="869"/>
      <c r="AS94" s="869"/>
      <c r="AT94" s="869"/>
      <c r="AU94" s="869"/>
      <c r="AV94" s="869"/>
      <c r="AW94" s="869"/>
      <c r="AX94" s="869"/>
      <c r="AY94" s="869"/>
      <c r="AZ94" s="869"/>
      <c r="BA94" s="869"/>
      <c r="BB94" s="869"/>
      <c r="BC94" s="1220"/>
      <c r="BD94" s="347"/>
      <c r="BF94" s="940"/>
      <c r="BG94" s="347"/>
    </row>
    <row r="95" spans="1:59" s="365" customFormat="1" ht="14.25" thickBot="1">
      <c r="A95" s="1105" t="s">
        <v>380</v>
      </c>
      <c r="B95" s="354" t="s">
        <v>193</v>
      </c>
      <c r="C95" s="455">
        <v>600</v>
      </c>
      <c r="D95" s="431">
        <f t="shared" si="63"/>
        <v>138</v>
      </c>
      <c r="E95" s="355">
        <f t="shared" si="62"/>
        <v>144</v>
      </c>
      <c r="F95" s="355">
        <f t="shared" ref="F95:F105" si="64">V95*K95</f>
        <v>109.5</v>
      </c>
      <c r="G95" s="356">
        <f t="shared" si="53"/>
        <v>146.25</v>
      </c>
      <c r="H95" s="357"/>
      <c r="I95" s="358">
        <f t="shared" si="55"/>
        <v>150</v>
      </c>
      <c r="J95" s="359">
        <f t="shared" ref="J95:J105" si="65">AE95*$C95</f>
        <v>150</v>
      </c>
      <c r="K95" s="359">
        <f t="shared" ref="K95:K105" si="66">AF95*$C95</f>
        <v>150</v>
      </c>
      <c r="L95" s="366">
        <f t="shared" ref="L95:L105" si="67">AG95*$C95</f>
        <v>150</v>
      </c>
      <c r="M95" s="480">
        <f>(LARGE(N95:R95,1)+LARGE(N95:R95,2))/2</f>
        <v>0.97499999999999998</v>
      </c>
      <c r="N95" s="358">
        <f>성적입력!G$5/계산도구!$AA95</f>
        <v>0.98</v>
      </c>
      <c r="O95" s="359">
        <f>성적입력!H$5/계산도구!$AA95</f>
        <v>0.97</v>
      </c>
      <c r="P95" s="399">
        <f>성적입력!I$5/계산도구!$AA95</f>
        <v>0.88</v>
      </c>
      <c r="Q95" s="399">
        <f>성적입력!J$5/계산도구!$AA95</f>
        <v>0.63</v>
      </c>
      <c r="R95" s="488"/>
      <c r="S95" s="357"/>
      <c r="T95" s="360">
        <f>성적입력!D$5/계산도구!X95</f>
        <v>0.92</v>
      </c>
      <c r="U95" s="361">
        <f>성적입력!E$5/계산도구!Y95</f>
        <v>0.96</v>
      </c>
      <c r="V95" s="362">
        <f>성적입력!F$5/계산도구!Z95</f>
        <v>0.73</v>
      </c>
      <c r="W95" s="363"/>
      <c r="X95" s="364">
        <v>100</v>
      </c>
      <c r="Y95" s="365">
        <v>100</v>
      </c>
      <c r="Z95" s="365">
        <v>100</v>
      </c>
      <c r="AA95" s="365">
        <v>100</v>
      </c>
      <c r="AB95" s="353"/>
      <c r="AC95" s="357"/>
      <c r="AD95" s="582">
        <v>0.25</v>
      </c>
      <c r="AE95" s="583">
        <v>0.25</v>
      </c>
      <c r="AF95" s="583">
        <v>0.25</v>
      </c>
      <c r="AG95" s="584">
        <v>0.25</v>
      </c>
      <c r="AH95" s="1338" t="s">
        <v>746</v>
      </c>
      <c r="AI95" s="1338" t="s">
        <v>747</v>
      </c>
      <c r="AJ95" s="357"/>
      <c r="AK95" s="364"/>
      <c r="BD95" s="364"/>
      <c r="BF95" s="931"/>
      <c r="BG95" s="364"/>
    </row>
    <row r="96" spans="1:59" s="165" customFormat="1" ht="14.25" thickBot="1">
      <c r="A96" s="1086" t="s">
        <v>381</v>
      </c>
      <c r="B96" s="243" t="s">
        <v>260</v>
      </c>
      <c r="C96" s="438">
        <v>800</v>
      </c>
      <c r="D96" s="414">
        <f t="shared" si="63"/>
        <v>125</v>
      </c>
      <c r="E96" s="244">
        <f t="shared" si="62"/>
        <v>139</v>
      </c>
      <c r="F96" s="244">
        <f t="shared" si="64"/>
        <v>114.99999999999999</v>
      </c>
      <c r="G96" s="350">
        <f t="shared" si="53"/>
        <v>159.66666666666666</v>
      </c>
      <c r="H96" s="249"/>
      <c r="I96" s="246">
        <f t="shared" si="55"/>
        <v>200</v>
      </c>
      <c r="J96" s="247">
        <f t="shared" si="65"/>
        <v>200</v>
      </c>
      <c r="K96" s="247">
        <f t="shared" si="66"/>
        <v>200</v>
      </c>
      <c r="L96" s="248">
        <f t="shared" si="67"/>
        <v>200</v>
      </c>
      <c r="M96" s="245">
        <f>(LARGE(N96:R96,1)+LARGE(N96:R96,2)+LARGE(N96:R96,3))/3</f>
        <v>0.79833333333333334</v>
      </c>
      <c r="N96" s="246">
        <f>(성적입력!G$4+성적입력!G$5)/$AA96</f>
        <v>0.83</v>
      </c>
      <c r="O96" s="247">
        <f>(성적입력!H$4+성적입력!H$5)/$AA96</f>
        <v>0.81499999999999995</v>
      </c>
      <c r="P96" s="247">
        <f>(성적입력!I$4+성적입력!I$5)/$AA96</f>
        <v>0.75</v>
      </c>
      <c r="Q96" s="247">
        <f>(성적입력!J$4+성적입력!J$5)/$AA96</f>
        <v>0.59</v>
      </c>
      <c r="R96" s="351"/>
      <c r="S96" s="249"/>
      <c r="T96" s="250">
        <f>성적입력!D$4/계산도구!X96</f>
        <v>0.625</v>
      </c>
      <c r="U96" s="293">
        <f>성적입력!E$4/계산도구!Y96</f>
        <v>0.69499999999999995</v>
      </c>
      <c r="V96" s="352">
        <f>성적입력!F$4/계산도구!Z96</f>
        <v>0.57499999999999996</v>
      </c>
      <c r="W96" s="251"/>
      <c r="X96" s="253">
        <v>200</v>
      </c>
      <c r="Y96" s="165">
        <v>200</v>
      </c>
      <c r="Z96" s="165">
        <v>200</v>
      </c>
      <c r="AA96" s="165">
        <v>200</v>
      </c>
      <c r="AB96" s="252"/>
      <c r="AC96" s="249"/>
      <c r="AD96" s="531">
        <v>0.25</v>
      </c>
      <c r="AE96" s="532">
        <v>0.25</v>
      </c>
      <c r="AF96" s="532">
        <v>0.25</v>
      </c>
      <c r="AG96" s="533">
        <v>0.25</v>
      </c>
      <c r="AH96" s="1318" t="s">
        <v>748</v>
      </c>
      <c r="AI96" s="1318"/>
      <c r="AJ96" s="249"/>
      <c r="AK96" s="253"/>
      <c r="BD96" s="253"/>
      <c r="BF96" s="942"/>
      <c r="BG96" s="253"/>
    </row>
    <row r="97" spans="1:59" s="1073" customFormat="1" ht="14.25" thickBot="1">
      <c r="A97" s="1117" t="s">
        <v>382</v>
      </c>
      <c r="B97" s="1061" t="s">
        <v>308</v>
      </c>
      <c r="C97" s="1062">
        <v>600</v>
      </c>
      <c r="D97" s="1063">
        <f t="shared" si="63"/>
        <v>138</v>
      </c>
      <c r="E97" s="1063">
        <f t="shared" si="62"/>
        <v>144</v>
      </c>
      <c r="F97" s="1063">
        <f t="shared" si="64"/>
        <v>109.5</v>
      </c>
      <c r="G97" s="1064">
        <f t="shared" si="53"/>
        <v>146.25</v>
      </c>
      <c r="H97" s="1061"/>
      <c r="I97" s="1065">
        <f t="shared" si="55"/>
        <v>150</v>
      </c>
      <c r="J97" s="1066">
        <f t="shared" si="65"/>
        <v>150</v>
      </c>
      <c r="K97" s="1066">
        <f t="shared" si="66"/>
        <v>150</v>
      </c>
      <c r="L97" s="1067">
        <f t="shared" si="67"/>
        <v>150</v>
      </c>
      <c r="M97" s="1068">
        <f>((LARGE(N97:R97,1)+LARGE(N97:R97,2)))/2</f>
        <v>0.97499999999999998</v>
      </c>
      <c r="N97" s="1065">
        <f>성적입력!G$5/계산도구!$AA$10</f>
        <v>0.98</v>
      </c>
      <c r="O97" s="1066">
        <f>성적입력!H$5/계산도구!$AA$10</f>
        <v>0.97</v>
      </c>
      <c r="P97" s="1069">
        <f>성적입력!I$5/계산도구!$AA$10</f>
        <v>0.88</v>
      </c>
      <c r="Q97" s="1069">
        <f>성적입력!J$5/계산도구!$AA$10</f>
        <v>0.63</v>
      </c>
      <c r="R97" s="1070"/>
      <c r="S97" s="1061"/>
      <c r="T97" s="1071">
        <f>성적입력!D$5/계산도구!X97</f>
        <v>0.92</v>
      </c>
      <c r="U97" s="1063">
        <f>성적입력!E$5/계산도구!Y97</f>
        <v>0.96</v>
      </c>
      <c r="V97" s="1064">
        <f>성적입력!F$5/계산도구!Z97</f>
        <v>0.73</v>
      </c>
      <c r="W97" s="1072"/>
      <c r="X97" s="1062">
        <v>100</v>
      </c>
      <c r="Y97" s="1073">
        <v>100</v>
      </c>
      <c r="Z97" s="1073">
        <v>100</v>
      </c>
      <c r="AA97" s="1073">
        <v>100</v>
      </c>
      <c r="AB97" s="1074"/>
      <c r="AC97" s="1061"/>
      <c r="AD97" s="1065">
        <v>0.25</v>
      </c>
      <c r="AE97" s="1066">
        <v>0.25</v>
      </c>
      <c r="AF97" s="1066">
        <v>0.25</v>
      </c>
      <c r="AG97" s="1066">
        <v>0.25</v>
      </c>
      <c r="AH97" s="1073" t="s">
        <v>731</v>
      </c>
      <c r="AI97" s="1074" t="s">
        <v>732</v>
      </c>
      <c r="AJ97" s="1075"/>
      <c r="AK97" s="1076"/>
      <c r="AV97" s="1077"/>
      <c r="AW97" s="1062"/>
      <c r="BD97" s="1062"/>
      <c r="BF97" s="1077"/>
      <c r="BG97" s="1062"/>
    </row>
    <row r="98" spans="1:59" s="365" customFormat="1" ht="14.25" thickBot="1">
      <c r="A98" s="1105" t="s">
        <v>173</v>
      </c>
      <c r="B98" s="354" t="s">
        <v>194</v>
      </c>
      <c r="C98" s="455">
        <v>500</v>
      </c>
      <c r="D98" s="431">
        <f t="shared" si="63"/>
        <v>138</v>
      </c>
      <c r="E98" s="730">
        <f>U98*J98-10</f>
        <v>134</v>
      </c>
      <c r="F98" s="355">
        <f t="shared" si="64"/>
        <v>109.5</v>
      </c>
      <c r="G98" s="731">
        <f>M98*L98-10</f>
        <v>38.75</v>
      </c>
      <c r="H98" s="357"/>
      <c r="I98" s="358">
        <f t="shared" si="55"/>
        <v>150</v>
      </c>
      <c r="J98" s="359">
        <f t="shared" si="65"/>
        <v>150</v>
      </c>
      <c r="K98" s="359">
        <f t="shared" si="66"/>
        <v>150</v>
      </c>
      <c r="L98" s="366">
        <f t="shared" si="67"/>
        <v>50</v>
      </c>
      <c r="M98" s="480">
        <f>((LARGE(N98:R98,1)+LARGE(N98:R98,2)))/2</f>
        <v>0.97499999999999998</v>
      </c>
      <c r="N98" s="358">
        <f>성적입력!G$5/계산도구!$AA98</f>
        <v>0.98</v>
      </c>
      <c r="O98" s="359">
        <f>성적입력!H$5/계산도구!$AA98</f>
        <v>0.97</v>
      </c>
      <c r="P98" s="399">
        <f>성적입력!I$5/계산도구!$AA98</f>
        <v>0.88</v>
      </c>
      <c r="Q98" s="399">
        <f>성적입력!J$5/계산도구!$AA98</f>
        <v>0.63</v>
      </c>
      <c r="R98" s="488"/>
      <c r="S98" s="357"/>
      <c r="T98" s="360">
        <f>성적입력!D$5/계산도구!X98</f>
        <v>0.92</v>
      </c>
      <c r="U98" s="361">
        <f>성적입력!E$5/계산도구!Y98</f>
        <v>0.96</v>
      </c>
      <c r="V98" s="362">
        <f>성적입력!F$5/계산도구!Z98</f>
        <v>0.73</v>
      </c>
      <c r="W98" s="363"/>
      <c r="X98" s="364">
        <v>100</v>
      </c>
      <c r="Y98" s="365">
        <v>100</v>
      </c>
      <c r="Z98" s="365">
        <v>100</v>
      </c>
      <c r="AA98" s="365">
        <v>100</v>
      </c>
      <c r="AB98" s="353"/>
      <c r="AC98" s="357"/>
      <c r="AD98" s="582">
        <v>0.3</v>
      </c>
      <c r="AE98" s="583">
        <v>0.3</v>
      </c>
      <c r="AF98" s="583">
        <v>0.3</v>
      </c>
      <c r="AG98" s="584">
        <v>0.1</v>
      </c>
      <c r="AH98" s="1338" t="s">
        <v>749</v>
      </c>
      <c r="AI98" s="1338" t="s">
        <v>750</v>
      </c>
      <c r="AJ98" s="357"/>
      <c r="AK98" s="364"/>
      <c r="BD98" s="364"/>
      <c r="BF98" s="931"/>
      <c r="BG98" s="364"/>
    </row>
    <row r="99" spans="1:59" s="257" customFormat="1" ht="14.25" thickBot="1">
      <c r="A99" s="1117" t="s">
        <v>175</v>
      </c>
      <c r="B99" s="335" t="s">
        <v>311</v>
      </c>
      <c r="C99" s="454">
        <v>350</v>
      </c>
      <c r="D99" s="430">
        <f>T99*I99+350</f>
        <v>382.2</v>
      </c>
      <c r="E99" s="336">
        <f t="shared" ref="E99:E112" si="68">U99*J99</f>
        <v>100.8</v>
      </c>
      <c r="F99" s="336">
        <f t="shared" si="64"/>
        <v>76.649999999999991</v>
      </c>
      <c r="G99" s="340">
        <f t="shared" ref="G99:G104" si="69">M99*L99</f>
        <v>102.375</v>
      </c>
      <c r="H99" s="341"/>
      <c r="I99" s="338">
        <f t="shared" si="55"/>
        <v>35</v>
      </c>
      <c r="J99" s="339">
        <f t="shared" si="65"/>
        <v>105</v>
      </c>
      <c r="K99" s="339">
        <f t="shared" si="66"/>
        <v>105</v>
      </c>
      <c r="L99" s="349">
        <f t="shared" si="67"/>
        <v>105</v>
      </c>
      <c r="M99" s="337">
        <f>((LARGE(N99:R99,1)+LARGE(N99:R99,2)))/2</f>
        <v>0.97499999999999998</v>
      </c>
      <c r="N99" s="338">
        <f>성적입력!G$5/계산도구!$AA99</f>
        <v>0.98</v>
      </c>
      <c r="O99" s="339">
        <f>성적입력!H$5/계산도구!$AA99</f>
        <v>0.97</v>
      </c>
      <c r="P99" s="398">
        <f>성적입력!I$5/계산도구!$AA99</f>
        <v>0.88</v>
      </c>
      <c r="Q99" s="398">
        <f>성적입력!J$5/계산도구!$AA99</f>
        <v>0.63</v>
      </c>
      <c r="R99" s="342"/>
      <c r="S99" s="341"/>
      <c r="T99" s="343">
        <f>성적입력!D$5/계산도구!X99</f>
        <v>0.92</v>
      </c>
      <c r="U99" s="344">
        <f>성적입력!E$5/계산도구!Y99</f>
        <v>0.96</v>
      </c>
      <c r="V99" s="345">
        <f>성적입력!F$5/계산도구!Z99</f>
        <v>0.73</v>
      </c>
      <c r="W99" s="346"/>
      <c r="X99" s="347">
        <v>100</v>
      </c>
      <c r="Y99" s="257">
        <v>100</v>
      </c>
      <c r="Z99" s="257">
        <v>100</v>
      </c>
      <c r="AA99" s="257">
        <v>100</v>
      </c>
      <c r="AB99" s="348"/>
      <c r="AC99" s="341"/>
      <c r="AD99" s="579">
        <v>0.1</v>
      </c>
      <c r="AE99" s="580">
        <v>0.3</v>
      </c>
      <c r="AF99" s="580">
        <v>0.3</v>
      </c>
      <c r="AG99" s="581">
        <v>0.3</v>
      </c>
      <c r="AH99" s="1609" t="s">
        <v>176</v>
      </c>
      <c r="AI99" s="1609"/>
      <c r="AJ99" s="341" t="s">
        <v>309</v>
      </c>
      <c r="AK99" s="347" t="s">
        <v>310</v>
      </c>
      <c r="AL99" s="869"/>
      <c r="AM99" s="869"/>
      <c r="AN99" s="869"/>
      <c r="AO99" s="869"/>
      <c r="AP99" s="869"/>
      <c r="AQ99" s="869"/>
      <c r="AR99" s="869"/>
      <c r="AS99" s="869"/>
      <c r="AT99" s="869"/>
      <c r="AU99" s="869"/>
      <c r="AV99" s="869"/>
      <c r="AW99" s="869"/>
      <c r="AX99" s="869"/>
      <c r="AY99" s="869"/>
      <c r="AZ99" s="869"/>
      <c r="BA99" s="869"/>
      <c r="BB99" s="869"/>
      <c r="BC99" s="1220"/>
      <c r="BD99" s="347"/>
      <c r="BF99" s="940"/>
      <c r="BG99" s="347"/>
    </row>
    <row r="100" spans="1:59" s="378" customFormat="1">
      <c r="A100" s="1100" t="s">
        <v>410</v>
      </c>
      <c r="B100" s="368" t="s">
        <v>195</v>
      </c>
      <c r="C100" s="450">
        <v>500</v>
      </c>
      <c r="D100" s="426">
        <f>T100*I100</f>
        <v>122.76785714285715</v>
      </c>
      <c r="E100" s="369">
        <f t="shared" si="68"/>
        <v>118.19727891156464</v>
      </c>
      <c r="F100" s="369">
        <f t="shared" si="64"/>
        <v>111.35563380281691</v>
      </c>
      <c r="G100" s="370">
        <f t="shared" si="69"/>
        <v>91.457992808107221</v>
      </c>
      <c r="H100" s="124"/>
      <c r="I100" s="371">
        <f t="shared" si="55"/>
        <v>137.5</v>
      </c>
      <c r="J100" s="372">
        <f t="shared" si="65"/>
        <v>125</v>
      </c>
      <c r="K100" s="372">
        <f t="shared" si="66"/>
        <v>137.5</v>
      </c>
      <c r="L100" s="379">
        <f t="shared" si="67"/>
        <v>100</v>
      </c>
      <c r="M100" s="477">
        <f>(LARGE(N100:R100,1)+LARGE(N100:R100,2)+LARGE(N100:R100,3))/3</f>
        <v>0.91457992808107225</v>
      </c>
      <c r="N100" s="371">
        <f>IF(성적입력!G$3=0,0,성적입력!G$4/HLOOKUP(성적입력!G$3,계산도구!$AN$1:$BZ$3,2,FALSE))</f>
        <v>0.97142857142857142</v>
      </c>
      <c r="O100" s="372">
        <f>IF(성적입력!H$3=0,0,성적입력!H$4/HLOOKUP(성적입력!H$3,계산도구!$AN$1:$BZ$3,2,FALSE))</f>
        <v>0.95652173913043481</v>
      </c>
      <c r="P100" s="408">
        <f>IF(성적입력!I$3=0,0,성적입력!I$4/HLOOKUP(성적입력!I$3,계산도구!$AN$1:$BZ$3,2,FALSE))</f>
        <v>0.81578947368421051</v>
      </c>
      <c r="Q100" s="408">
        <f>IF(성적입력!J$3=0,0,성적입력!J$4/HLOOKUP(성적입력!J$3,계산도구!$AN$1:$BZ$3,2,FALSE))</f>
        <v>0.79710144927536231</v>
      </c>
      <c r="R100" s="491"/>
      <c r="S100" s="124"/>
      <c r="T100" s="373">
        <f>성적입력!D$4/계산도구!X100</f>
        <v>0.8928571428571429</v>
      </c>
      <c r="U100" s="374">
        <f>성적입력!E$4/계산도구!Y100</f>
        <v>0.94557823129251706</v>
      </c>
      <c r="V100" s="375">
        <f>성적입력!F$4/계산도구!Z100</f>
        <v>0.8098591549295775</v>
      </c>
      <c r="W100" s="376"/>
      <c r="X100" s="377">
        <f t="shared" ref="X100:Z102" si="70">AK$2</f>
        <v>140</v>
      </c>
      <c r="Y100" s="378">
        <f t="shared" si="70"/>
        <v>147</v>
      </c>
      <c r="Z100" s="378">
        <f t="shared" si="70"/>
        <v>142</v>
      </c>
      <c r="AB100" s="367"/>
      <c r="AC100" s="124"/>
      <c r="AD100" s="567">
        <v>0.27500000000000002</v>
      </c>
      <c r="AE100" s="568">
        <v>0.25</v>
      </c>
      <c r="AF100" s="568">
        <v>0.27500000000000002</v>
      </c>
      <c r="AG100" s="569">
        <v>0.2</v>
      </c>
      <c r="AH100" s="1332"/>
      <c r="AI100" s="1332"/>
      <c r="AJ100" s="124"/>
      <c r="AK100" s="377"/>
      <c r="BD100" s="377"/>
      <c r="BF100" s="928"/>
      <c r="BG100" s="377"/>
    </row>
    <row r="101" spans="1:59" s="122" customFormat="1">
      <c r="A101" s="1137" t="s">
        <v>406</v>
      </c>
      <c r="B101" s="1138" t="s">
        <v>407</v>
      </c>
      <c r="C101" s="617">
        <v>500</v>
      </c>
      <c r="D101" s="618">
        <f>T101*I101</f>
        <v>122.76785714285715</v>
      </c>
      <c r="E101" s="619">
        <f t="shared" si="68"/>
        <v>118.19727891156464</v>
      </c>
      <c r="F101" s="619">
        <f>V101*K101</f>
        <v>111.35563380281691</v>
      </c>
      <c r="G101" s="620">
        <f t="shared" si="69"/>
        <v>91.457992808107221</v>
      </c>
      <c r="H101" s="132"/>
      <c r="I101" s="621">
        <f t="shared" si="55"/>
        <v>137.5</v>
      </c>
      <c r="J101" s="622">
        <f t="shared" ref="J101:L102" si="71">AE101*$C101</f>
        <v>125</v>
      </c>
      <c r="K101" s="622">
        <f t="shared" si="71"/>
        <v>137.5</v>
      </c>
      <c r="L101" s="623">
        <f t="shared" si="71"/>
        <v>100</v>
      </c>
      <c r="M101" s="1139">
        <f>(LARGE(N101:R101,1)+LARGE(N101:R101,2)+LARGE(N101:R101,3))/3</f>
        <v>0.91457992808107225</v>
      </c>
      <c r="N101" s="621">
        <f>IF(성적입력!G$3=0,0,성적입력!G$4/HLOOKUP(성적입력!G$3,계산도구!$AN$1:$BZ$3,2,FALSE))</f>
        <v>0.97142857142857142</v>
      </c>
      <c r="O101" s="622">
        <f>IF(성적입력!H$3=0,0,성적입력!H$4/HLOOKUP(성적입력!H$3,계산도구!$AN$1:$BZ$3,2,FALSE))</f>
        <v>0.95652173913043481</v>
      </c>
      <c r="P101" s="624">
        <f>IF(성적입력!I$3=0,0,성적입력!I$4/HLOOKUP(성적입력!I$3,계산도구!$AN$1:$BZ$3,2,FALSE))</f>
        <v>0.81578947368421051</v>
      </c>
      <c r="Q101" s="624">
        <f>IF(성적입력!J$3=0,0,성적입력!J$4/HLOOKUP(성적입력!J$3,계산도구!$AN$1:$BZ$3,2,FALSE))</f>
        <v>0.79710144927536231</v>
      </c>
      <c r="R101" s="1140">
        <f>IF(성적입력!K$3=0,0,성적입력!K$4/HLOOKUP(성적입력!K$3,계산도구!$AN$1:$BZ$3,2,FALSE))</f>
        <v>0.4777777777777778</v>
      </c>
      <c r="S101" s="132"/>
      <c r="T101" s="626">
        <f>성적입력!D$4/계산도구!X101</f>
        <v>0.8928571428571429</v>
      </c>
      <c r="U101" s="627">
        <f>성적입력!E$4/계산도구!Y101</f>
        <v>0.94557823129251706</v>
      </c>
      <c r="V101" s="628">
        <f>성적입력!F$4/계산도구!Z101</f>
        <v>0.8098591549295775</v>
      </c>
      <c r="W101" s="629"/>
      <c r="X101" s="138">
        <f t="shared" si="70"/>
        <v>140</v>
      </c>
      <c r="Y101" s="122">
        <f t="shared" si="70"/>
        <v>147</v>
      </c>
      <c r="Z101" s="122">
        <f t="shared" si="70"/>
        <v>142</v>
      </c>
      <c r="AB101" s="142"/>
      <c r="AC101" s="132"/>
      <c r="AD101" s="1141">
        <v>0.27500000000000002</v>
      </c>
      <c r="AE101" s="1142">
        <v>0.25</v>
      </c>
      <c r="AF101" s="1142">
        <v>0.27500000000000002</v>
      </c>
      <c r="AG101" s="1143">
        <v>0.2</v>
      </c>
      <c r="AH101" s="1330"/>
      <c r="AI101" s="1330"/>
      <c r="AJ101" s="132"/>
      <c r="AK101" s="138"/>
      <c r="BD101" s="138"/>
      <c r="BF101" s="146"/>
      <c r="BG101" s="138"/>
    </row>
    <row r="102" spans="1:59" s="126" customFormat="1" ht="14.25" thickBot="1">
      <c r="A102" s="1136" t="s">
        <v>411</v>
      </c>
      <c r="B102" s="277" t="s">
        <v>412</v>
      </c>
      <c r="C102" s="449">
        <v>500</v>
      </c>
      <c r="D102" s="425">
        <f>T102*I102</f>
        <v>111.60714285714286</v>
      </c>
      <c r="E102" s="266">
        <f t="shared" si="68"/>
        <v>130.01700680272108</v>
      </c>
      <c r="F102" s="266">
        <f>V102*K102</f>
        <v>111.35563380281691</v>
      </c>
      <c r="G102" s="278">
        <f t="shared" si="69"/>
        <v>91.457992808107221</v>
      </c>
      <c r="H102" s="130"/>
      <c r="I102" s="279">
        <f t="shared" si="55"/>
        <v>125</v>
      </c>
      <c r="J102" s="267">
        <f t="shared" si="71"/>
        <v>137.5</v>
      </c>
      <c r="K102" s="267">
        <f t="shared" si="71"/>
        <v>137.5</v>
      </c>
      <c r="L102" s="284">
        <f t="shared" si="71"/>
        <v>100</v>
      </c>
      <c r="M102" s="476">
        <f>(LARGE(N102:R102,1)+LARGE(N102:R102,2)+LARGE(N102:R102,3))/3</f>
        <v>0.91457992808107225</v>
      </c>
      <c r="N102" s="279">
        <f>IF(성적입력!G$3=0,0,성적입력!G$4/HLOOKUP(성적입력!G$3,계산도구!$AN$1:$BZ$3,2,FALSE))</f>
        <v>0.97142857142857142</v>
      </c>
      <c r="O102" s="267">
        <f>IF(성적입력!H$3=0,0,성적입력!H$4/HLOOKUP(성적입력!H$3,계산도구!$AN$1:$BZ$3,2,FALSE))</f>
        <v>0.95652173913043481</v>
      </c>
      <c r="P102" s="268">
        <f>IF(성적입력!I$3=0,0,성적입력!I$4/HLOOKUP(성적입력!I$3,계산도구!$AN$1:$BZ$3,2,FALSE))</f>
        <v>0.81578947368421051</v>
      </c>
      <c r="Q102" s="268">
        <f>IF(성적입력!J$3=0,0,성적입력!J$4/HLOOKUP(성적입력!J$3,계산도구!$AN$1:$BZ$3,2,FALSE))</f>
        <v>0.79710144927536231</v>
      </c>
      <c r="R102" s="280"/>
      <c r="S102" s="130"/>
      <c r="T102" s="281">
        <f>성적입력!D$4/계산도구!X102</f>
        <v>0.8928571428571429</v>
      </c>
      <c r="U102" s="269">
        <f>성적입력!E$4/계산도구!Y102</f>
        <v>0.94557823129251706</v>
      </c>
      <c r="V102" s="282">
        <f>성적입력!F$4/계산도구!Z102</f>
        <v>0.8098591549295775</v>
      </c>
      <c r="W102" s="283"/>
      <c r="X102" s="141">
        <f t="shared" si="70"/>
        <v>140</v>
      </c>
      <c r="Y102" s="126">
        <f t="shared" si="70"/>
        <v>147</v>
      </c>
      <c r="Z102" s="126">
        <f t="shared" si="70"/>
        <v>142</v>
      </c>
      <c r="AB102" s="145"/>
      <c r="AC102" s="130"/>
      <c r="AD102" s="564">
        <v>0.25</v>
      </c>
      <c r="AE102" s="565">
        <v>0.27500000000000002</v>
      </c>
      <c r="AF102" s="565">
        <v>0.27500000000000002</v>
      </c>
      <c r="AG102" s="566">
        <v>0.2</v>
      </c>
      <c r="AH102" s="1331"/>
      <c r="AI102" s="1331"/>
      <c r="AJ102" s="130"/>
      <c r="AK102" s="141"/>
      <c r="BD102" s="141"/>
      <c r="BF102" s="149"/>
      <c r="BG102" s="141"/>
    </row>
    <row r="103" spans="1:59" s="257" customFormat="1" ht="14.25" thickBot="1">
      <c r="A103" s="1117" t="s">
        <v>327</v>
      </c>
      <c r="B103" s="335" t="s">
        <v>196</v>
      </c>
      <c r="C103" s="454">
        <v>200</v>
      </c>
      <c r="D103" s="430">
        <f>T103*I103+400</f>
        <v>455.2</v>
      </c>
      <c r="E103" s="336">
        <f t="shared" si="68"/>
        <v>38.4</v>
      </c>
      <c r="F103" s="336">
        <f t="shared" si="64"/>
        <v>43.8</v>
      </c>
      <c r="G103" s="340">
        <f t="shared" si="69"/>
        <v>39</v>
      </c>
      <c r="H103" s="341"/>
      <c r="I103" s="338">
        <f t="shared" si="55"/>
        <v>60</v>
      </c>
      <c r="J103" s="339">
        <f t="shared" si="65"/>
        <v>40</v>
      </c>
      <c r="K103" s="339">
        <f t="shared" si="66"/>
        <v>60</v>
      </c>
      <c r="L103" s="349">
        <f t="shared" si="67"/>
        <v>40</v>
      </c>
      <c r="M103" s="899">
        <f>(LARGE(N103:R103,1)+LARGE(N103:R103,2))/2</f>
        <v>0.97499999999999998</v>
      </c>
      <c r="N103" s="338">
        <f>성적입력!G$5/계산도구!$AA103</f>
        <v>0.98</v>
      </c>
      <c r="O103" s="339">
        <f>성적입력!H$5/계산도구!$AA103</f>
        <v>0.97</v>
      </c>
      <c r="P103" s="339">
        <f>성적입력!I$5/계산도구!$AA103</f>
        <v>0.88</v>
      </c>
      <c r="Q103" s="339">
        <f>성적입력!J$5/계산도구!$AA103</f>
        <v>0.63</v>
      </c>
      <c r="R103" s="342"/>
      <c r="S103" s="341"/>
      <c r="T103" s="343">
        <f>성적입력!D$5/계산도구!X103</f>
        <v>0.92</v>
      </c>
      <c r="U103" s="344">
        <f>성적입력!E$5/계산도구!Y103</f>
        <v>0.96</v>
      </c>
      <c r="V103" s="345">
        <f>성적입력!F$5/계산도구!Z103</f>
        <v>0.73</v>
      </c>
      <c r="W103" s="346"/>
      <c r="X103" s="347">
        <v>100</v>
      </c>
      <c r="Y103" s="257">
        <v>100</v>
      </c>
      <c r="Z103" s="257">
        <v>100</v>
      </c>
      <c r="AA103" s="257">
        <v>100</v>
      </c>
      <c r="AB103" s="348"/>
      <c r="AC103" s="341"/>
      <c r="AD103" s="579">
        <v>0.3</v>
      </c>
      <c r="AE103" s="580">
        <v>0.2</v>
      </c>
      <c r="AF103" s="580">
        <v>0.3</v>
      </c>
      <c r="AG103" s="581">
        <v>0.2</v>
      </c>
      <c r="AH103" s="1609" t="s">
        <v>751</v>
      </c>
      <c r="AI103" s="1609"/>
      <c r="AJ103" s="341"/>
      <c r="AK103" s="502"/>
      <c r="AL103" s="869"/>
      <c r="AM103" s="869"/>
      <c r="AN103" s="869"/>
      <c r="AO103" s="869"/>
      <c r="AP103" s="869"/>
      <c r="AQ103" s="869"/>
      <c r="AR103" s="869"/>
      <c r="AS103" s="869"/>
      <c r="AT103" s="869"/>
      <c r="AU103" s="869"/>
      <c r="AV103" s="869"/>
      <c r="AW103" s="869"/>
      <c r="AX103" s="869"/>
      <c r="AY103" s="869"/>
      <c r="AZ103" s="869"/>
      <c r="BA103" s="869"/>
      <c r="BB103" s="869"/>
      <c r="BC103" s="1220"/>
      <c r="BD103" s="347"/>
      <c r="BF103" s="940"/>
      <c r="BG103" s="347"/>
    </row>
    <row r="104" spans="1:59" s="507" customFormat="1" ht="14.25" thickBot="1">
      <c r="A104" s="1101" t="s">
        <v>328</v>
      </c>
      <c r="B104" s="204" t="s">
        <v>265</v>
      </c>
      <c r="C104" s="907">
        <v>800</v>
      </c>
      <c r="D104" s="427">
        <f t="shared" ref="D104:D116" si="72">T104*I104</f>
        <v>196.42857142857147</v>
      </c>
      <c r="E104" s="177">
        <f t="shared" si="68"/>
        <v>170.20408163265307</v>
      </c>
      <c r="F104" s="177">
        <f t="shared" si="64"/>
        <v>178.16901408450707</v>
      </c>
      <c r="G104" s="178">
        <f t="shared" si="69"/>
        <v>167.36930154746969</v>
      </c>
      <c r="H104" s="81"/>
      <c r="I104" s="85">
        <f t="shared" si="55"/>
        <v>220.00000000000003</v>
      </c>
      <c r="J104" s="86">
        <f t="shared" si="65"/>
        <v>180</v>
      </c>
      <c r="K104" s="86">
        <f t="shared" si="66"/>
        <v>220.00000000000003</v>
      </c>
      <c r="L104" s="156">
        <f t="shared" si="67"/>
        <v>180</v>
      </c>
      <c r="M104" s="155">
        <f>(LARGE(N104:R104,1)+LARGE(N104:R104,2)+LARGE(N104:R104,3))/3</f>
        <v>0.92982945304149822</v>
      </c>
      <c r="N104" s="85">
        <f>IF(성적입력!G$3="국사",(VLOOKUP(성적입력!G$5,보정점수표!$A$3:$M$103,12,FALSE)/$AA104)+(2/계산도구!$L104),VLOOKUP(성적입력!G$5,보정점수표!$A$3:$M$103,12,FALSE)/$AA104)</f>
        <v>0.95957061201728699</v>
      </c>
      <c r="O104" s="85">
        <f>IF(성적입력!H$3="국사",(VLOOKUP(성적입력!H$5,보정점수표!$A$3:$M$103,12,FALSE)/$AA104)+(2/계산도구!$L104),VLOOKUP(성적입력!H$5,보정점수표!$A$3:$M$103,12,FALSE)/$AA104)</f>
        <v>0.9470235605743762</v>
      </c>
      <c r="P104" s="85">
        <f>IF(성적입력!I$3="국사",(VLOOKUP(성적입력!I$5,보정점수표!$A$3:$M$103,12,FALSE)/$AA104)+(2/계산도구!$L104),VLOOKUP(성적입력!I$5,보정점수표!$A$3:$M$103,12,FALSE)/$AA104)</f>
        <v>0.88289418653283136</v>
      </c>
      <c r="Q104" s="85">
        <f>IF(성적입력!J$3="국사",(VLOOKUP(성적입력!J$5,보정점수표!$A$3:$M$103,12,FALSE)/$AA104)+(2/계산도구!$L104),VLOOKUP(성적입력!J$5,보정점수표!$A$3:$M$103,12,FALSE)/$AA104)</f>
        <v>0.74515544402620937</v>
      </c>
      <c r="R104" s="87">
        <f>VLOOKUP(성적입력!K$5,보정점수표!$M$3:$T$103,2,FALSE)/$AB104</f>
        <v>0.52439508131693768</v>
      </c>
      <c r="S104" s="81"/>
      <c r="T104" s="88">
        <f>성적입력!D$4/계산도구!X104</f>
        <v>0.8928571428571429</v>
      </c>
      <c r="U104" s="83">
        <f>성적입력!E$4/계산도구!Y104</f>
        <v>0.94557823129251706</v>
      </c>
      <c r="V104" s="84">
        <f>성적입력!F$4/계산도구!Z104</f>
        <v>0.8098591549295775</v>
      </c>
      <c r="W104" s="89"/>
      <c r="X104" s="225">
        <f>AK$2</f>
        <v>140</v>
      </c>
      <c r="Y104" s="226">
        <f>AL$2</f>
        <v>147</v>
      </c>
      <c r="Z104" s="226">
        <f>AM$2</f>
        <v>142</v>
      </c>
      <c r="AA104" s="226">
        <f>보정점수표!L3</f>
        <v>71.73</v>
      </c>
      <c r="AB104" s="227">
        <f>보정점수표!U3</f>
        <v>75.63</v>
      </c>
      <c r="AC104" s="81"/>
      <c r="AD104" s="570">
        <f>220/800</f>
        <v>0.27500000000000002</v>
      </c>
      <c r="AE104" s="571">
        <f>180/800</f>
        <v>0.22500000000000001</v>
      </c>
      <c r="AF104" s="570">
        <f>220/800</f>
        <v>0.27500000000000002</v>
      </c>
      <c r="AG104" s="571">
        <f>180/800</f>
        <v>0.22500000000000001</v>
      </c>
      <c r="AH104" s="1614"/>
      <c r="AI104" s="1615"/>
      <c r="AJ104" s="81"/>
      <c r="AK104" s="82"/>
      <c r="AL104" s="872"/>
      <c r="AM104" s="872"/>
      <c r="AN104" s="872"/>
      <c r="AO104" s="872"/>
      <c r="AP104" s="872"/>
      <c r="AQ104" s="872"/>
      <c r="AR104" s="872"/>
      <c r="AS104" s="872"/>
      <c r="AT104" s="872"/>
      <c r="AU104" s="872"/>
      <c r="AV104" s="872"/>
      <c r="AW104" s="872"/>
      <c r="AX104" s="872"/>
      <c r="AY104" s="872"/>
      <c r="AZ104" s="872"/>
      <c r="BA104" s="872"/>
      <c r="BB104" s="872"/>
      <c r="BC104" s="1221"/>
      <c r="BD104" s="82"/>
      <c r="BF104" s="1222"/>
      <c r="BG104" s="82"/>
    </row>
    <row r="105" spans="1:59" s="789" customFormat="1">
      <c r="A105" s="1122" t="s">
        <v>383</v>
      </c>
      <c r="B105" s="773" t="s">
        <v>214</v>
      </c>
      <c r="C105" s="774">
        <v>450</v>
      </c>
      <c r="D105" s="775">
        <f t="shared" si="72"/>
        <v>84.375</v>
      </c>
      <c r="E105" s="776">
        <f t="shared" si="68"/>
        <v>62.55</v>
      </c>
      <c r="F105" s="776">
        <f t="shared" si="64"/>
        <v>77.625</v>
      </c>
      <c r="G105" s="777">
        <f>M105*L105+IF(COUNTIF(성적입력!$G$3:$J$3,"국사")=0,0,IF((HLOOKUP("국사",성적입력!$G$3:$J$5,2))*1.03&gt;=LARGE(성적입력!$G$4:$J$4,3),HLOOKUP("국사",성적입력!$G$3:$J$5,2)*0.03,0))</f>
        <v>58.8</v>
      </c>
      <c r="H105" s="778"/>
      <c r="I105" s="779">
        <f t="shared" si="55"/>
        <v>135</v>
      </c>
      <c r="J105" s="780">
        <f t="shared" si="65"/>
        <v>90</v>
      </c>
      <c r="K105" s="780">
        <f t="shared" si="66"/>
        <v>135</v>
      </c>
      <c r="L105" s="781">
        <f t="shared" si="67"/>
        <v>90</v>
      </c>
      <c r="M105" s="782">
        <f>IF(COUNTIF(성적입력!$G$3:$J$3,"국사")=0,(LARGE(N105:Q105,1)+LARGE(N105:Q105,2)+LARGE(N105:Q105,3))/3,IF(HLOOKUP("국사",성적입력!$G$3:$J$5,2,FALSE)&gt;=LARGE(성적입력!$G$4:$J$4,3),(LARGE(N105:Q105,1)+LARGE(N105:Q105,2)+LARGE(N105:Q105,3))/3,IF(HLOOKUP("국사",성적입력!$G$3:$J$5,2,FALSE)*1.03&gt;=LARGE(성적입력!$G$4:$J$4,3),(LARGE(N105:Q105,1)+LARGE(N105:Q105,2)+(HLOOKUP("국사",성적입력!$G$3:$J$5,2,FALSE)/$AA105))/3,(LARGE(N105:Q105,1)+LARGE(N105:Q105,2)+LARGE(N105:Q105,3))/3)))</f>
        <v>0.65333333333333332</v>
      </c>
      <c r="N105" s="779">
        <f>성적입력!G$4/$AA105</f>
        <v>0.68</v>
      </c>
      <c r="O105" s="779">
        <f>성적입력!H$4/$AA105</f>
        <v>0.66</v>
      </c>
      <c r="P105" s="779">
        <f>성적입력!I$4/$AA105</f>
        <v>0.62</v>
      </c>
      <c r="Q105" s="779">
        <f>성적입력!J$4/$AA105</f>
        <v>0.55000000000000004</v>
      </c>
      <c r="R105" s="708">
        <f>성적입력!K$4*0.05</f>
        <v>2.15</v>
      </c>
      <c r="S105" s="778"/>
      <c r="T105" s="784">
        <f>성적입력!D$4/계산도구!X105</f>
        <v>0.625</v>
      </c>
      <c r="U105" s="785">
        <f>성적입력!E$4/계산도구!Y105</f>
        <v>0.69499999999999995</v>
      </c>
      <c r="V105" s="786">
        <f>성적입력!F$4/계산도구!Z105</f>
        <v>0.57499999999999996</v>
      </c>
      <c r="W105" s="787"/>
      <c r="X105" s="788">
        <v>200</v>
      </c>
      <c r="Y105" s="789">
        <v>200</v>
      </c>
      <c r="Z105" s="789">
        <v>200</v>
      </c>
      <c r="AA105" s="789">
        <v>100</v>
      </c>
      <c r="AB105" s="790"/>
      <c r="AC105" s="778"/>
      <c r="AD105" s="791">
        <v>0.3</v>
      </c>
      <c r="AE105" s="791">
        <v>0.2</v>
      </c>
      <c r="AF105" s="791">
        <v>0.3</v>
      </c>
      <c r="AG105" s="792">
        <v>0.2</v>
      </c>
      <c r="AH105" s="1616" t="s">
        <v>752</v>
      </c>
      <c r="AI105" s="1617"/>
      <c r="AJ105" s="778"/>
      <c r="AK105" s="788"/>
      <c r="BD105" s="788"/>
      <c r="BF105" s="944"/>
      <c r="BG105" s="788"/>
    </row>
    <row r="106" spans="1:59" s="393" customFormat="1">
      <c r="A106" s="1123" t="s">
        <v>384</v>
      </c>
      <c r="B106" s="383" t="s">
        <v>248</v>
      </c>
      <c r="C106" s="456">
        <v>450</v>
      </c>
      <c r="D106" s="432">
        <f t="shared" si="72"/>
        <v>56.25</v>
      </c>
      <c r="E106" s="384">
        <f t="shared" si="68"/>
        <v>93.824999999999989</v>
      </c>
      <c r="F106" s="384">
        <f t="shared" ref="F106:F112" si="73">V106*K106</f>
        <v>77.625</v>
      </c>
      <c r="G106" s="793">
        <f>M106*L106+IF(COUNTIF(성적입력!$G$3:$J$3,"국사")=0,0,IF((HLOOKUP("국사",성적입력!$G$3:$J$5,2))*1.03&gt;=LARGE(성적입력!$G$4:$J$4,3),HLOOKUP("국사",성적입력!$G$3:$J$5,2)*0.03,0))</f>
        <v>58.8</v>
      </c>
      <c r="H106" s="385"/>
      <c r="I106" s="386">
        <f t="shared" si="55"/>
        <v>90</v>
      </c>
      <c r="J106" s="387">
        <f t="shared" ref="J106:L112" si="74">AE106*$C106</f>
        <v>135</v>
      </c>
      <c r="K106" s="387">
        <f t="shared" si="74"/>
        <v>135</v>
      </c>
      <c r="L106" s="395">
        <f t="shared" si="74"/>
        <v>90</v>
      </c>
      <c r="M106" s="481">
        <f>IF(COUNTIF(성적입력!$G$3:$J$3,"국사")=0,(LARGE(N106:Q106,1)+LARGE(N106:Q106,2)+LARGE(N106:Q106,3))/3,IF(HLOOKUP("국사",성적입력!$G$3:$J$5,2,FALSE)&gt;=LARGE(성적입력!$G$4:$J$4,3),(LARGE(N106:Q106,1)+LARGE(N106:Q106,2)+LARGE(N106:Q106,3))/3,IF(HLOOKUP("국사",성적입력!$G$3:$J$5,2,FALSE)*1.03&gt;=LARGE(성적입력!$G$4:$J$4,3),(LARGE(N106:Q106,1)+LARGE(N106:Q106,2)+(HLOOKUP("국사",성적입력!$G$3:$J$5,2,FALSE)/$AA106))/3,(LARGE(N106:Q106,1)+LARGE(N106:Q106,2)+LARGE(N106:Q106,3))/3)))</f>
        <v>0.65333333333333332</v>
      </c>
      <c r="N106" s="386">
        <f>성적입력!G$4/$AA106</f>
        <v>0.68</v>
      </c>
      <c r="O106" s="386">
        <f>성적입력!H$4/$AA106</f>
        <v>0.66</v>
      </c>
      <c r="P106" s="386">
        <f>성적입력!I$4/$AA106</f>
        <v>0.62</v>
      </c>
      <c r="Q106" s="386">
        <f>성적입력!J$4/$AA106</f>
        <v>0.55000000000000004</v>
      </c>
      <c r="R106" s="388"/>
      <c r="S106" s="385"/>
      <c r="T106" s="389">
        <f>성적입력!D$4/계산도구!X106</f>
        <v>0.625</v>
      </c>
      <c r="U106" s="390">
        <f>성적입력!E$4/계산도구!Y106</f>
        <v>0.69499999999999995</v>
      </c>
      <c r="V106" s="391">
        <f>성적입력!F$4/계산도구!Z106</f>
        <v>0.57499999999999996</v>
      </c>
      <c r="W106" s="392"/>
      <c r="X106" s="396">
        <v>200</v>
      </c>
      <c r="Y106" s="393">
        <v>200</v>
      </c>
      <c r="Z106" s="393">
        <v>200</v>
      </c>
      <c r="AA106" s="393">
        <v>100</v>
      </c>
      <c r="AB106" s="394"/>
      <c r="AC106" s="385"/>
      <c r="AD106" s="585">
        <v>0.2</v>
      </c>
      <c r="AE106" s="585">
        <v>0.3</v>
      </c>
      <c r="AF106" s="585">
        <v>0.3</v>
      </c>
      <c r="AG106" s="586">
        <v>0.2</v>
      </c>
      <c r="AH106" s="1354" t="s">
        <v>740</v>
      </c>
      <c r="AI106" s="1355" t="s">
        <v>753</v>
      </c>
      <c r="AJ106" s="914"/>
      <c r="AK106" s="396"/>
      <c r="BD106" s="396"/>
      <c r="BF106" s="945"/>
      <c r="BG106" s="396"/>
    </row>
    <row r="107" spans="1:59" s="811" customFormat="1" ht="14.25" thickBot="1">
      <c r="A107" s="1109" t="s">
        <v>385</v>
      </c>
      <c r="B107" s="795" t="s">
        <v>249</v>
      </c>
      <c r="C107" s="796">
        <v>450</v>
      </c>
      <c r="D107" s="797">
        <f t="shared" si="72"/>
        <v>56.25</v>
      </c>
      <c r="E107" s="798">
        <f t="shared" si="68"/>
        <v>93.824999999999989</v>
      </c>
      <c r="F107" s="798">
        <f t="shared" si="73"/>
        <v>77.625</v>
      </c>
      <c r="G107" s="799">
        <f>M107*L107+IF(COUNTIF(성적입력!$G$3:$J$3,"국사")=0,0,IF((HLOOKUP("국사",성적입력!$G$3:$J$5,2))*1.03&gt;=LARGE(성적입력!$G$4:$J$4,2),HLOOKUP("국사",성적입력!$G$3:$J$5,2)*0.03,0))</f>
        <v>60.300000000000004</v>
      </c>
      <c r="H107" s="800"/>
      <c r="I107" s="801">
        <f t="shared" si="55"/>
        <v>90</v>
      </c>
      <c r="J107" s="802">
        <f t="shared" si="74"/>
        <v>135</v>
      </c>
      <c r="K107" s="802">
        <f t="shared" si="74"/>
        <v>135</v>
      </c>
      <c r="L107" s="803">
        <f t="shared" si="74"/>
        <v>90</v>
      </c>
      <c r="M107" s="804">
        <f>IF(COUNTIF(성적입력!$G$3:$J$3,"국사")=0,(LARGE(N107:Q107,1)+LARGE(N107:Q107,2))/2,IF(HLOOKUP("국사",성적입력!$G$3:$J$5,2,FALSE)&gt;=LARGE(성적입력!$G$4:$J$4,2),(LARGE(N107:Q107,1)+LARGE(N107:Q107,2))/2,IF(HLOOKUP("국사",성적입력!$G$3:$J$5,2,FALSE)*1.03&gt;=LARGE(성적입력!$G$4:$J$4,2),(LARGE(N107:Q107,1)+(HLOOKUP("국사",성적입력!$G$3:$J$5,2,FALSE)/$AA107))/3,(LARGE(N107:Q107,1)+LARGE(N107:Q107,2))/2)))</f>
        <v>0.67</v>
      </c>
      <c r="N107" s="386">
        <f>성적입력!G$4/$AA107</f>
        <v>0.68</v>
      </c>
      <c r="O107" s="386">
        <f>성적입력!H$4/$AA107</f>
        <v>0.66</v>
      </c>
      <c r="P107" s="386">
        <f>성적입력!I$4/$AA107</f>
        <v>0.62</v>
      </c>
      <c r="Q107" s="386">
        <f>성적입력!J$4/$AA107</f>
        <v>0.55000000000000004</v>
      </c>
      <c r="R107" s="805"/>
      <c r="S107" s="800"/>
      <c r="T107" s="806">
        <f>성적입력!D$4/계산도구!X107</f>
        <v>0.625</v>
      </c>
      <c r="U107" s="807">
        <f>성적입력!E$4/계산도구!Y107</f>
        <v>0.69499999999999995</v>
      </c>
      <c r="V107" s="808">
        <f>성적입력!F$4/계산도구!Z107</f>
        <v>0.57499999999999996</v>
      </c>
      <c r="W107" s="809"/>
      <c r="X107" s="810">
        <v>200</v>
      </c>
      <c r="Y107" s="811">
        <v>200</v>
      </c>
      <c r="Z107" s="811">
        <v>200</v>
      </c>
      <c r="AA107" s="811">
        <v>100</v>
      </c>
      <c r="AB107" s="812"/>
      <c r="AC107" s="800"/>
      <c r="AD107" s="813">
        <v>0.2</v>
      </c>
      <c r="AE107" s="813">
        <v>0.3</v>
      </c>
      <c r="AF107" s="813">
        <v>0.3</v>
      </c>
      <c r="AG107" s="814">
        <v>0.2</v>
      </c>
      <c r="AH107" s="1356" t="s">
        <v>740</v>
      </c>
      <c r="AI107" s="1357" t="s">
        <v>753</v>
      </c>
      <c r="AJ107" s="915"/>
      <c r="AK107" s="810"/>
      <c r="BD107" s="810"/>
      <c r="BF107" s="934"/>
      <c r="BG107" s="810"/>
    </row>
    <row r="108" spans="1:59" s="506" customFormat="1" ht="14.25" thickBot="1">
      <c r="A108" s="1117" t="s">
        <v>386</v>
      </c>
      <c r="B108" s="335" t="s">
        <v>217</v>
      </c>
      <c r="C108" s="454">
        <v>600</v>
      </c>
      <c r="D108" s="430">
        <f t="shared" si="72"/>
        <v>165.6</v>
      </c>
      <c r="E108" s="336">
        <f t="shared" si="68"/>
        <v>115.19999999999999</v>
      </c>
      <c r="F108" s="336">
        <f t="shared" si="73"/>
        <v>131.4</v>
      </c>
      <c r="G108" s="340">
        <f>M108*L108</f>
        <v>117</v>
      </c>
      <c r="H108" s="341"/>
      <c r="I108" s="338">
        <f t="shared" si="55"/>
        <v>180</v>
      </c>
      <c r="J108" s="339">
        <f t="shared" si="74"/>
        <v>120</v>
      </c>
      <c r="K108" s="339">
        <f t="shared" si="74"/>
        <v>180</v>
      </c>
      <c r="L108" s="349">
        <f t="shared" si="74"/>
        <v>120</v>
      </c>
      <c r="M108" s="337">
        <f>((LARGE(N108:R108,1)+LARGE(N108:R108,2)))/2</f>
        <v>0.97499999999999998</v>
      </c>
      <c r="N108" s="338">
        <f>성적입력!G$5/계산도구!$AA108</f>
        <v>0.98</v>
      </c>
      <c r="O108" s="339">
        <f>성적입력!H$5/계산도구!$AA108</f>
        <v>0.97</v>
      </c>
      <c r="P108" s="339">
        <f>성적입력!I$5/계산도구!$AA108</f>
        <v>0.88</v>
      </c>
      <c r="Q108" s="339">
        <f>성적입력!J$5/계산도구!$AA108</f>
        <v>0.63</v>
      </c>
      <c r="R108" s="342"/>
      <c r="S108" s="341"/>
      <c r="T108" s="343">
        <f>성적입력!D$5/계산도구!X108</f>
        <v>0.92</v>
      </c>
      <c r="U108" s="344">
        <f>성적입력!E$5/계산도구!Y108</f>
        <v>0.96</v>
      </c>
      <c r="V108" s="345">
        <f>성적입력!F$5/계산도구!Z108</f>
        <v>0.73</v>
      </c>
      <c r="W108" s="346"/>
      <c r="X108" s="347">
        <v>100</v>
      </c>
      <c r="Y108" s="506">
        <v>100</v>
      </c>
      <c r="Z108" s="506">
        <v>100</v>
      </c>
      <c r="AA108" s="506">
        <v>100</v>
      </c>
      <c r="AB108" s="348"/>
      <c r="AC108" s="341"/>
      <c r="AD108" s="579">
        <v>0.3</v>
      </c>
      <c r="AE108" s="580">
        <v>0.2</v>
      </c>
      <c r="AF108" s="580">
        <v>0.3</v>
      </c>
      <c r="AG108" s="581">
        <v>0.2</v>
      </c>
      <c r="AH108" s="1358"/>
      <c r="AI108" s="1359"/>
      <c r="AJ108" s="916"/>
      <c r="AK108" s="502"/>
      <c r="AL108" s="869"/>
      <c r="AM108" s="869"/>
      <c r="AN108" s="869"/>
      <c r="AO108" s="869"/>
      <c r="AP108" s="869"/>
      <c r="AQ108" s="869"/>
      <c r="AR108" s="869"/>
      <c r="AS108" s="869"/>
      <c r="AT108" s="869"/>
      <c r="AU108" s="869"/>
      <c r="AV108" s="869"/>
      <c r="AW108" s="869"/>
      <c r="AX108" s="869"/>
      <c r="AY108" s="869"/>
      <c r="AZ108" s="869"/>
      <c r="BA108" s="869"/>
      <c r="BB108" s="869"/>
      <c r="BC108" s="1220"/>
      <c r="BD108" s="347"/>
      <c r="BF108" s="940"/>
      <c r="BG108" s="347"/>
    </row>
    <row r="109" spans="1:59" s="382" customFormat="1" ht="14.25" thickBot="1">
      <c r="A109" s="1118" t="s">
        <v>387</v>
      </c>
      <c r="B109" s="411" t="s">
        <v>214</v>
      </c>
      <c r="C109" s="458">
        <v>300</v>
      </c>
      <c r="D109" s="435">
        <f t="shared" si="72"/>
        <v>60</v>
      </c>
      <c r="E109" s="400">
        <f t="shared" si="68"/>
        <v>33.36</v>
      </c>
      <c r="F109" s="400">
        <f t="shared" si="73"/>
        <v>55.199999999999996</v>
      </c>
      <c r="G109" s="461">
        <f>M109*L109</f>
        <v>40.200000000000003</v>
      </c>
      <c r="H109" s="467"/>
      <c r="I109" s="464">
        <f t="shared" si="55"/>
        <v>96</v>
      </c>
      <c r="J109" s="401">
        <f t="shared" si="74"/>
        <v>48</v>
      </c>
      <c r="K109" s="401">
        <f t="shared" si="74"/>
        <v>96</v>
      </c>
      <c r="L109" s="469">
        <f t="shared" si="74"/>
        <v>60</v>
      </c>
      <c r="M109" s="484">
        <f>((LARGE(N109:Q109,1)+LARGE(N109:Q109,2)))/2</f>
        <v>0.67</v>
      </c>
      <c r="N109" s="464">
        <f>성적입력!G$4/$AA109</f>
        <v>0.68</v>
      </c>
      <c r="O109" s="401">
        <f>성적입력!H$4/$AA109</f>
        <v>0.66</v>
      </c>
      <c r="P109" s="401">
        <f>성적입력!I$4/$AA109</f>
        <v>0.62</v>
      </c>
      <c r="Q109" s="401">
        <f>성적입력!J$4/$AA109</f>
        <v>0.55000000000000004</v>
      </c>
      <c r="R109" s="708">
        <f>성적입력!K$4*0.02</f>
        <v>0.86</v>
      </c>
      <c r="S109" s="467"/>
      <c r="T109" s="493">
        <f>성적입력!D$4/계산도구!X109</f>
        <v>0.625</v>
      </c>
      <c r="U109" s="402">
        <f>성적입력!E$4/계산도구!Y109</f>
        <v>0.69499999999999995</v>
      </c>
      <c r="V109" s="495">
        <f>성적입력!F$4/계산도구!Z109</f>
        <v>0.57499999999999996</v>
      </c>
      <c r="W109" s="499"/>
      <c r="X109" s="497">
        <v>200</v>
      </c>
      <c r="Y109" s="382">
        <v>200</v>
      </c>
      <c r="Z109" s="382">
        <v>200</v>
      </c>
      <c r="AA109" s="382">
        <v>100</v>
      </c>
      <c r="AB109" s="501"/>
      <c r="AC109" s="467"/>
      <c r="AD109" s="593">
        <v>0.32</v>
      </c>
      <c r="AE109" s="593">
        <v>0.16</v>
      </c>
      <c r="AF109" s="593">
        <v>0.32</v>
      </c>
      <c r="AG109" s="595">
        <v>0.2</v>
      </c>
      <c r="AH109" s="1618" t="s">
        <v>754</v>
      </c>
      <c r="AI109" s="1619"/>
      <c r="AJ109" s="467"/>
      <c r="AK109" s="497"/>
      <c r="BD109" s="497"/>
      <c r="BF109" s="941"/>
      <c r="BG109" s="497"/>
    </row>
    <row r="110" spans="1:59" s="789" customFormat="1">
      <c r="A110" s="1122" t="s">
        <v>388</v>
      </c>
      <c r="B110" s="773" t="s">
        <v>214</v>
      </c>
      <c r="C110" s="774">
        <v>600</v>
      </c>
      <c r="D110" s="775">
        <f t="shared" si="72"/>
        <v>0</v>
      </c>
      <c r="E110" s="776">
        <f t="shared" si="68"/>
        <v>145.94999999999999</v>
      </c>
      <c r="F110" s="776">
        <f t="shared" si="73"/>
        <v>138</v>
      </c>
      <c r="G110" s="777">
        <f>M110*L110</f>
        <v>100.5</v>
      </c>
      <c r="H110" s="778"/>
      <c r="I110" s="779">
        <f t="shared" si="55"/>
        <v>0</v>
      </c>
      <c r="J110" s="780">
        <f t="shared" si="74"/>
        <v>210</v>
      </c>
      <c r="K110" s="780">
        <f t="shared" si="74"/>
        <v>240</v>
      </c>
      <c r="L110" s="781">
        <f t="shared" si="74"/>
        <v>150</v>
      </c>
      <c r="M110" s="782">
        <f>((LARGE(N110:R110,1)+LARGE(N110:R110,2)))/2</f>
        <v>0.67</v>
      </c>
      <c r="N110" s="779">
        <f>성적입력!G$4/$AA110</f>
        <v>0.68</v>
      </c>
      <c r="O110" s="780">
        <f>성적입력!H$4/$AA110</f>
        <v>0.66</v>
      </c>
      <c r="P110" s="780">
        <f>성적입력!I$4/$AA110</f>
        <v>0.62</v>
      </c>
      <c r="Q110" s="780">
        <f>성적입력!J$4/$AA110</f>
        <v>0.55000000000000004</v>
      </c>
      <c r="R110" s="783"/>
      <c r="S110" s="778"/>
      <c r="T110" s="784">
        <f>성적입력!D$4/계산도구!X110</f>
        <v>0.625</v>
      </c>
      <c r="U110" s="785">
        <f>성적입력!E$4/계산도구!Y110</f>
        <v>0.69499999999999995</v>
      </c>
      <c r="V110" s="786">
        <f>성적입력!F$4/계산도구!Z110</f>
        <v>0.57499999999999996</v>
      </c>
      <c r="W110" s="787"/>
      <c r="X110" s="788">
        <v>200</v>
      </c>
      <c r="Y110" s="789">
        <v>200</v>
      </c>
      <c r="Z110" s="789">
        <v>200</v>
      </c>
      <c r="AA110" s="789">
        <v>100</v>
      </c>
      <c r="AB110" s="790"/>
      <c r="AC110" s="778"/>
      <c r="AD110" s="791"/>
      <c r="AE110" s="791">
        <v>0.35</v>
      </c>
      <c r="AF110" s="791">
        <v>0.4</v>
      </c>
      <c r="AG110" s="792">
        <v>0.25</v>
      </c>
      <c r="AH110" s="1360"/>
      <c r="AI110" s="1361"/>
      <c r="AJ110" s="917"/>
      <c r="AK110" s="788"/>
      <c r="BD110" s="788"/>
      <c r="BF110" s="944"/>
      <c r="BG110" s="788"/>
    </row>
    <row r="111" spans="1:59" s="811" customFormat="1" ht="14.25" thickBot="1">
      <c r="A111" s="1109" t="s">
        <v>389</v>
      </c>
      <c r="B111" s="795" t="s">
        <v>252</v>
      </c>
      <c r="C111" s="796">
        <v>600</v>
      </c>
      <c r="D111" s="797">
        <f t="shared" si="72"/>
        <v>131.25</v>
      </c>
      <c r="E111" s="798">
        <f t="shared" si="68"/>
        <v>0</v>
      </c>
      <c r="F111" s="798">
        <f t="shared" si="73"/>
        <v>138</v>
      </c>
      <c r="G111" s="799">
        <f>M111*L111*1.02</f>
        <v>102.51</v>
      </c>
      <c r="H111" s="800"/>
      <c r="I111" s="801">
        <f t="shared" si="55"/>
        <v>210</v>
      </c>
      <c r="J111" s="802">
        <f t="shared" si="74"/>
        <v>0</v>
      </c>
      <c r="K111" s="802">
        <f t="shared" si="74"/>
        <v>240</v>
      </c>
      <c r="L111" s="803">
        <f t="shared" si="74"/>
        <v>150</v>
      </c>
      <c r="M111" s="804">
        <f>((LARGE(N111:R111,1)+LARGE(N111:R111,2)))/2</f>
        <v>0.67</v>
      </c>
      <c r="N111" s="801">
        <f>성적입력!G$4/$AA111</f>
        <v>0.68</v>
      </c>
      <c r="O111" s="802">
        <f>성적입력!H$4/$AA111</f>
        <v>0.66</v>
      </c>
      <c r="P111" s="802">
        <f>성적입력!I$4/$AA111</f>
        <v>0.62</v>
      </c>
      <c r="Q111" s="802">
        <f>성적입력!J$4/$AA111</f>
        <v>0.55000000000000004</v>
      </c>
      <c r="R111" s="805"/>
      <c r="S111" s="800"/>
      <c r="T111" s="806">
        <f>성적입력!D$4/계산도구!X111</f>
        <v>0.625</v>
      </c>
      <c r="U111" s="807">
        <f>성적입력!E$4/계산도구!Y111</f>
        <v>0.69499999999999995</v>
      </c>
      <c r="V111" s="808">
        <f>성적입력!F$4/계산도구!Z111</f>
        <v>0.57499999999999996</v>
      </c>
      <c r="W111" s="809"/>
      <c r="X111" s="810">
        <v>200</v>
      </c>
      <c r="Y111" s="811">
        <v>200</v>
      </c>
      <c r="Z111" s="811">
        <v>200</v>
      </c>
      <c r="AA111" s="811">
        <v>100</v>
      </c>
      <c r="AB111" s="812"/>
      <c r="AC111" s="800"/>
      <c r="AD111" s="813">
        <v>0.35</v>
      </c>
      <c r="AE111" s="813"/>
      <c r="AF111" s="813">
        <v>0.4</v>
      </c>
      <c r="AG111" s="814">
        <v>0.25</v>
      </c>
      <c r="AH111" s="1356" t="s">
        <v>755</v>
      </c>
      <c r="AI111" s="1357"/>
      <c r="AJ111" s="915"/>
      <c r="AK111" s="810"/>
      <c r="BD111" s="810"/>
      <c r="BF111" s="934"/>
      <c r="BG111" s="810"/>
    </row>
    <row r="112" spans="1:59" s="508" customFormat="1" ht="14.25" thickBot="1">
      <c r="A112" s="1117" t="s">
        <v>390</v>
      </c>
      <c r="B112" s="335" t="s">
        <v>217</v>
      </c>
      <c r="C112" s="454">
        <v>500</v>
      </c>
      <c r="D112" s="430">
        <f t="shared" si="72"/>
        <v>184</v>
      </c>
      <c r="E112" s="336">
        <f t="shared" si="68"/>
        <v>0</v>
      </c>
      <c r="F112" s="336">
        <f t="shared" si="73"/>
        <v>146</v>
      </c>
      <c r="G112" s="340">
        <f>M112*L112</f>
        <v>97.5</v>
      </c>
      <c r="H112" s="341"/>
      <c r="I112" s="338">
        <f t="shared" si="55"/>
        <v>200</v>
      </c>
      <c r="J112" s="339">
        <f t="shared" si="74"/>
        <v>0</v>
      </c>
      <c r="K112" s="339">
        <f t="shared" si="74"/>
        <v>200</v>
      </c>
      <c r="L112" s="349">
        <f t="shared" si="74"/>
        <v>100</v>
      </c>
      <c r="M112" s="337">
        <f>((LARGE(N112:R112,1)+LARGE(N112:R112,2)))/2</f>
        <v>0.97499999999999998</v>
      </c>
      <c r="N112" s="338">
        <f>성적입력!G$5/계산도구!$AA112</f>
        <v>0.98</v>
      </c>
      <c r="O112" s="339">
        <f>성적입력!H$5/계산도구!$AA112</f>
        <v>0.97</v>
      </c>
      <c r="P112" s="339">
        <f>성적입력!I$5/계산도구!$AA112</f>
        <v>0.88</v>
      </c>
      <c r="Q112" s="339">
        <f>성적입력!J$5/계산도구!$AA112</f>
        <v>0.63</v>
      </c>
      <c r="R112" s="342"/>
      <c r="S112" s="341"/>
      <c r="T112" s="343">
        <f>성적입력!D$5/계산도구!X112</f>
        <v>0.92</v>
      </c>
      <c r="U112" s="344">
        <f>성적입력!E$5/계산도구!Y112</f>
        <v>0.96</v>
      </c>
      <c r="V112" s="345">
        <f>성적입력!F$5/계산도구!Z112</f>
        <v>0.73</v>
      </c>
      <c r="W112" s="346"/>
      <c r="X112" s="347">
        <v>100</v>
      </c>
      <c r="Y112" s="508">
        <v>100</v>
      </c>
      <c r="Z112" s="508">
        <v>100</v>
      </c>
      <c r="AA112" s="508">
        <v>100</v>
      </c>
      <c r="AB112" s="348"/>
      <c r="AC112" s="341"/>
      <c r="AD112" s="579">
        <v>0.4</v>
      </c>
      <c r="AE112" s="580"/>
      <c r="AF112" s="580">
        <v>0.4</v>
      </c>
      <c r="AG112" s="581">
        <v>0.2</v>
      </c>
      <c r="AH112" s="1358"/>
      <c r="AI112" s="1359"/>
      <c r="AJ112" s="916"/>
      <c r="AK112" s="502"/>
      <c r="AL112" s="869"/>
      <c r="AM112" s="869"/>
      <c r="AN112" s="869"/>
      <c r="AO112" s="869"/>
      <c r="AP112" s="869"/>
      <c r="AQ112" s="869"/>
      <c r="AR112" s="869"/>
      <c r="AS112" s="869"/>
      <c r="AT112" s="869"/>
      <c r="AU112" s="869"/>
      <c r="AV112" s="869"/>
      <c r="AW112" s="869"/>
      <c r="AX112" s="869"/>
      <c r="AY112" s="869"/>
      <c r="AZ112" s="869"/>
      <c r="BA112" s="869"/>
      <c r="BB112" s="869"/>
      <c r="BC112" s="1220"/>
      <c r="BD112" s="347"/>
      <c r="BF112" s="940"/>
      <c r="BG112" s="347"/>
    </row>
    <row r="113" spans="1:59" s="891" customFormat="1">
      <c r="A113" s="1104" t="s">
        <v>391</v>
      </c>
      <c r="B113" s="874" t="s">
        <v>217</v>
      </c>
      <c r="C113" s="1078">
        <v>700</v>
      </c>
      <c r="D113" s="876">
        <f t="shared" si="72"/>
        <v>257.60000000000002</v>
      </c>
      <c r="E113" s="877">
        <f t="shared" ref="E113:E122" si="75">U113*J113</f>
        <v>0</v>
      </c>
      <c r="F113" s="877">
        <f t="shared" ref="F113:F119" si="76">V113*K113</f>
        <v>204.4</v>
      </c>
      <c r="G113" s="878">
        <f>M113*L113</f>
        <v>137.19999999999999</v>
      </c>
      <c r="H113" s="879"/>
      <c r="I113" s="880">
        <f t="shared" ref="I113:I122" si="77">AD113*$C113</f>
        <v>280</v>
      </c>
      <c r="J113" s="881">
        <f t="shared" ref="J113:J126" si="78">AE113*$C113</f>
        <v>0</v>
      </c>
      <c r="K113" s="881">
        <f t="shared" ref="K113:K126" si="79">AF113*$C113</f>
        <v>280</v>
      </c>
      <c r="L113" s="882">
        <f t="shared" ref="L113:L126" si="80">AG113*$C113</f>
        <v>140</v>
      </c>
      <c r="M113" s="883">
        <f>(LARGE(N113:R113,1))</f>
        <v>0.98</v>
      </c>
      <c r="N113" s="880">
        <f>성적입력!G$5/계산도구!$AA113</f>
        <v>0.98</v>
      </c>
      <c r="O113" s="881">
        <f>성적입력!H$5/계산도구!$AA113</f>
        <v>0.97</v>
      </c>
      <c r="P113" s="881">
        <f>성적입력!I$5/계산도구!$AA113</f>
        <v>0.88</v>
      </c>
      <c r="Q113" s="881">
        <f>성적입력!J$5/계산도구!$AA113</f>
        <v>0.63</v>
      </c>
      <c r="R113" s="885"/>
      <c r="S113" s="879"/>
      <c r="T113" s="886">
        <f>성적입력!D$5/계산도구!X113</f>
        <v>0.92</v>
      </c>
      <c r="U113" s="887">
        <f>성적입력!E$5/계산도구!Y113</f>
        <v>0.96</v>
      </c>
      <c r="V113" s="888">
        <f>성적입력!F$5/계산도구!Z113</f>
        <v>0.73</v>
      </c>
      <c r="W113" s="889"/>
      <c r="X113" s="890">
        <v>100</v>
      </c>
      <c r="Y113" s="891">
        <v>100</v>
      </c>
      <c r="Z113" s="891">
        <v>100</v>
      </c>
      <c r="AA113" s="891">
        <v>100</v>
      </c>
      <c r="AB113" s="892"/>
      <c r="AC113" s="879"/>
      <c r="AD113" s="1079">
        <v>0.4</v>
      </c>
      <c r="AE113" s="1080"/>
      <c r="AF113" s="1080">
        <v>0.4</v>
      </c>
      <c r="AG113" s="1081">
        <v>0.2</v>
      </c>
      <c r="AH113" s="1362"/>
      <c r="AI113" s="1363"/>
      <c r="AJ113" s="1082"/>
      <c r="AK113" s="1083"/>
      <c r="BD113" s="890"/>
      <c r="BF113" s="930"/>
      <c r="BG113" s="890"/>
    </row>
    <row r="114" spans="1:59" s="20" customFormat="1" ht="14.25" thickBot="1">
      <c r="A114" s="1094" t="s">
        <v>392</v>
      </c>
      <c r="B114" s="209" t="s">
        <v>312</v>
      </c>
      <c r="C114" s="445">
        <v>700</v>
      </c>
      <c r="D114" s="421">
        <f t="shared" si="72"/>
        <v>0</v>
      </c>
      <c r="E114" s="186">
        <f>U114*J114</f>
        <v>268.8</v>
      </c>
      <c r="F114" s="186">
        <f>V114*K114</f>
        <v>204.4</v>
      </c>
      <c r="G114" s="187">
        <f>M114*L114</f>
        <v>137.19999999999999</v>
      </c>
      <c r="H114" s="48"/>
      <c r="I114" s="39">
        <f>AD114*$C114</f>
        <v>0</v>
      </c>
      <c r="J114" s="25">
        <f>AE114*$C114</f>
        <v>280</v>
      </c>
      <c r="K114" s="25">
        <f>AF114*$C114</f>
        <v>280</v>
      </c>
      <c r="L114" s="173">
        <f>AG114*$C114</f>
        <v>140</v>
      </c>
      <c r="M114" s="474">
        <f>(LARGE(N114:R114,1))</f>
        <v>0.98</v>
      </c>
      <c r="N114" s="39">
        <f>성적입력!G$5/계산도구!$AA114</f>
        <v>0.98</v>
      </c>
      <c r="O114" s="25">
        <f>성적입력!H$5/계산도구!$AA114</f>
        <v>0.97</v>
      </c>
      <c r="P114" s="25">
        <f>성적입력!I$5/계산도구!$AA114</f>
        <v>0.88</v>
      </c>
      <c r="Q114" s="25">
        <f>성적입력!J$5/계산도구!$AA114</f>
        <v>0.63</v>
      </c>
      <c r="R114" s="64"/>
      <c r="S114" s="48"/>
      <c r="T114" s="69">
        <f>성적입력!D$5/계산도구!X114</f>
        <v>0.92</v>
      </c>
      <c r="U114" s="24">
        <f>성적입력!E$5/계산도구!Y114</f>
        <v>0.96</v>
      </c>
      <c r="V114" s="34">
        <f>성적입력!F$5/계산도구!Z114</f>
        <v>0.73</v>
      </c>
      <c r="W114" s="74"/>
      <c r="X114" s="59">
        <v>100</v>
      </c>
      <c r="Y114" s="20">
        <v>100</v>
      </c>
      <c r="Z114" s="20">
        <v>100</v>
      </c>
      <c r="AA114" s="20">
        <v>100</v>
      </c>
      <c r="AB114" s="79"/>
      <c r="AC114" s="48"/>
      <c r="AD114" s="552"/>
      <c r="AE114" s="553">
        <v>0.4</v>
      </c>
      <c r="AF114" s="553">
        <v>0.4</v>
      </c>
      <c r="AG114" s="554">
        <v>0.2</v>
      </c>
      <c r="AH114" s="1364" t="s">
        <v>731</v>
      </c>
      <c r="AI114" s="1365"/>
      <c r="AJ114" s="705"/>
      <c r="AK114" s="1084"/>
      <c r="BD114" s="59"/>
      <c r="BF114" s="913"/>
      <c r="BG114" s="59"/>
    </row>
    <row r="115" spans="1:59" s="19" customFormat="1">
      <c r="A115" s="1092" t="s">
        <v>393</v>
      </c>
      <c r="B115" s="207" t="s">
        <v>217</v>
      </c>
      <c r="C115" s="443">
        <v>500</v>
      </c>
      <c r="D115" s="419">
        <f t="shared" si="72"/>
        <v>138</v>
      </c>
      <c r="E115" s="182">
        <f t="shared" si="75"/>
        <v>0</v>
      </c>
      <c r="F115" s="182">
        <f t="shared" si="76"/>
        <v>182.5</v>
      </c>
      <c r="G115" s="183">
        <f>M115*L115</f>
        <v>97.5</v>
      </c>
      <c r="H115" s="46"/>
      <c r="I115" s="37">
        <f t="shared" si="77"/>
        <v>150</v>
      </c>
      <c r="J115" s="22">
        <f t="shared" si="78"/>
        <v>0</v>
      </c>
      <c r="K115" s="22">
        <f t="shared" si="79"/>
        <v>250</v>
      </c>
      <c r="L115" s="171">
        <f t="shared" si="80"/>
        <v>100</v>
      </c>
      <c r="M115" s="472">
        <f>((LARGE(N115:R115,1)+LARGE(N115:R115,2)))/2</f>
        <v>0.97499999999999998</v>
      </c>
      <c r="N115" s="37">
        <f>성적입력!G$5/계산도구!$AA115</f>
        <v>0.98</v>
      </c>
      <c r="O115" s="22">
        <f>성적입력!H$5/계산도구!$AA115</f>
        <v>0.97</v>
      </c>
      <c r="P115" s="22">
        <f>성적입력!I$5/계산도구!$AA115</f>
        <v>0.88</v>
      </c>
      <c r="Q115" s="22">
        <f>성적입력!J$5/계산도구!$AA115</f>
        <v>0.63</v>
      </c>
      <c r="R115" s="62"/>
      <c r="S115" s="46"/>
      <c r="T115" s="67">
        <f>성적입력!D$5/계산도구!X115</f>
        <v>0.92</v>
      </c>
      <c r="U115" s="21">
        <f>성적입력!E$5/계산도구!Y115</f>
        <v>0.96</v>
      </c>
      <c r="V115" s="32">
        <f>성적입력!F$5/계산도구!Z115</f>
        <v>0.73</v>
      </c>
      <c r="W115" s="72"/>
      <c r="X115" s="57">
        <v>100</v>
      </c>
      <c r="Y115" s="19">
        <v>100</v>
      </c>
      <c r="Z115" s="19">
        <v>100</v>
      </c>
      <c r="AA115" s="19">
        <v>100</v>
      </c>
      <c r="AB115" s="77"/>
      <c r="AC115" s="46"/>
      <c r="AD115" s="546">
        <v>0.3</v>
      </c>
      <c r="AE115" s="547"/>
      <c r="AF115" s="547">
        <v>0.5</v>
      </c>
      <c r="AG115" s="548">
        <v>0.2</v>
      </c>
      <c r="AH115" s="1366"/>
      <c r="AI115" s="1367"/>
      <c r="AJ115" s="1029"/>
      <c r="AK115" s="1030"/>
      <c r="BD115" s="57"/>
      <c r="BF115" s="912"/>
      <c r="BG115" s="57"/>
    </row>
    <row r="116" spans="1:59" s="16" customFormat="1" ht="14.25" thickBot="1">
      <c r="A116" s="1124" t="s">
        <v>394</v>
      </c>
      <c r="B116" s="211" t="s">
        <v>301</v>
      </c>
      <c r="C116" s="452">
        <v>500</v>
      </c>
      <c r="D116" s="428">
        <f t="shared" si="72"/>
        <v>0</v>
      </c>
      <c r="E116" s="191">
        <f>U116*J116</f>
        <v>240</v>
      </c>
      <c r="F116" s="191">
        <f>V116*K116</f>
        <v>109.5</v>
      </c>
      <c r="G116" s="192">
        <f>M116*L116</f>
        <v>97.5</v>
      </c>
      <c r="H116" s="49"/>
      <c r="I116" s="40">
        <f>AD116*$C116</f>
        <v>0</v>
      </c>
      <c r="J116" s="28">
        <f>AE116*$C116</f>
        <v>250</v>
      </c>
      <c r="K116" s="28">
        <f>AF116*$C116</f>
        <v>150</v>
      </c>
      <c r="L116" s="175">
        <f>AG116*$C116</f>
        <v>100</v>
      </c>
      <c r="M116" s="478">
        <f>((LARGE(N116:R116,1)+LARGE(N116:R116,2)))/2</f>
        <v>0.97499999999999998</v>
      </c>
      <c r="N116" s="40">
        <f>성적입력!G$5/계산도구!$AA116</f>
        <v>0.98</v>
      </c>
      <c r="O116" s="28">
        <f>성적입력!H$5/계산도구!$AA116</f>
        <v>0.97</v>
      </c>
      <c r="P116" s="28">
        <f>성적입력!I$5/계산도구!$AA116</f>
        <v>0.88</v>
      </c>
      <c r="Q116" s="28">
        <f>성적입력!J$5/계산도구!$AA116</f>
        <v>0.63</v>
      </c>
      <c r="R116" s="65"/>
      <c r="S116" s="49"/>
      <c r="T116" s="70">
        <f>성적입력!D$5/계산도구!X116</f>
        <v>0.92</v>
      </c>
      <c r="U116" s="27">
        <f>성적입력!E$5/계산도구!Y116</f>
        <v>0.96</v>
      </c>
      <c r="V116" s="35">
        <f>성적입력!F$5/계산도구!Z116</f>
        <v>0.73</v>
      </c>
      <c r="W116" s="75"/>
      <c r="X116" s="60">
        <v>100</v>
      </c>
      <c r="Y116" s="16">
        <v>100</v>
      </c>
      <c r="Z116" s="16">
        <v>100</v>
      </c>
      <c r="AA116" s="16">
        <v>100</v>
      </c>
      <c r="AB116" s="51"/>
      <c r="AC116" s="49"/>
      <c r="AD116" s="573"/>
      <c r="AE116" s="574">
        <v>0.5</v>
      </c>
      <c r="AF116" s="574">
        <v>0.3</v>
      </c>
      <c r="AG116" s="575">
        <v>0.2</v>
      </c>
      <c r="AH116" s="1368" t="s">
        <v>740</v>
      </c>
      <c r="AI116" s="1365" t="s">
        <v>753</v>
      </c>
      <c r="AJ116" s="1031"/>
      <c r="AK116" s="1032"/>
      <c r="BD116" s="60"/>
      <c r="BF116" s="929"/>
      <c r="BG116" s="60"/>
    </row>
    <row r="117" spans="1:59" s="226" customFormat="1" ht="14.25" thickBot="1">
      <c r="A117" s="1088" t="s">
        <v>395</v>
      </c>
      <c r="B117" s="1008" t="s">
        <v>59</v>
      </c>
      <c r="C117" s="440">
        <v>700</v>
      </c>
      <c r="D117" s="416">
        <f t="shared" ref="D117:D122" si="81">T117*I117</f>
        <v>187.5</v>
      </c>
      <c r="E117" s="215">
        <f t="shared" si="75"/>
        <v>198.57142857142858</v>
      </c>
      <c r="F117" s="215">
        <f t="shared" si="76"/>
        <v>170.07042253521126</v>
      </c>
      <c r="G117" s="216">
        <f>M117</f>
        <v>68.435214571546851</v>
      </c>
      <c r="H117" s="217"/>
      <c r="I117" s="218">
        <f t="shared" si="77"/>
        <v>210</v>
      </c>
      <c r="J117" s="219">
        <f t="shared" si="78"/>
        <v>210</v>
      </c>
      <c r="K117" s="219">
        <f t="shared" si="79"/>
        <v>210</v>
      </c>
      <c r="L117" s="228">
        <f t="shared" si="80"/>
        <v>70</v>
      </c>
      <c r="M117" s="866">
        <f>(LARGE(N117:R117,1)+LARGE(N117:R117,2))/2</f>
        <v>68.435214571546851</v>
      </c>
      <c r="N117" s="218">
        <f>IF(성적입력!G$3=0,0,HLOOKUP(성적입력!G$3,'서울대,한양대보정별첨'!$U$2:$AM$103,102-성적입력!G$4,FALSE)/$AA117)*70</f>
        <v>68.657375465709947</v>
      </c>
      <c r="O117" s="219">
        <f>IF(성적입력!H$3=0,0,HLOOKUP(성적입력!H$3,'서울대,한양대보정별첨'!$U$2:$AM$103,102-성적입력!H$4,FALSE)/$AA117)*70</f>
        <v>68.213053677383755</v>
      </c>
      <c r="P117" s="219">
        <f>IF(성적입력!I$3=0,0,HLOOKUP(성적입력!I$3,'서울대,한양대보정별첨'!$U$2:$AM$103,102-성적입력!I$4,FALSE)/$AA117)*70</f>
        <v>64.21415758244791</v>
      </c>
      <c r="Q117" s="219">
        <f>IF(성적입력!J$3=0,0,HLOOKUP(성적입력!J$3,'서울대,한양대보정별첨'!$U$2:$AM$103,102-성적입력!J$4,FALSE)/$AA117)*70</f>
        <v>53.106112874292805</v>
      </c>
      <c r="R117" s="228">
        <f>IF(성적입력!K$3=0,0,HLOOKUP(성적입력!K$3,'서울대,한양대보정별첨'!$U$2:$AM$103,102-성적입력!K$4,FALSE)/$AB117)*70</f>
        <v>32.667310611287434</v>
      </c>
      <c r="S117" s="217"/>
      <c r="T117" s="221">
        <f>성적입력!D$4/계산도구!X117</f>
        <v>0.8928571428571429</v>
      </c>
      <c r="U117" s="222">
        <f>성적입력!E$4/계산도구!Y117</f>
        <v>0.94557823129251706</v>
      </c>
      <c r="V117" s="223">
        <f>성적입력!F$4/계산도구!Z117</f>
        <v>0.8098591549295775</v>
      </c>
      <c r="W117" s="224"/>
      <c r="X117" s="225">
        <f>AK$2</f>
        <v>140</v>
      </c>
      <c r="Y117" s="226">
        <f>AL$2</f>
        <v>147</v>
      </c>
      <c r="Z117" s="226">
        <f>AM$2</f>
        <v>142</v>
      </c>
      <c r="AA117" s="226">
        <v>72.47</v>
      </c>
      <c r="AB117" s="227">
        <v>72.47</v>
      </c>
      <c r="AC117" s="217"/>
      <c r="AD117" s="1009">
        <v>0.3</v>
      </c>
      <c r="AE117" s="1010">
        <v>0.3</v>
      </c>
      <c r="AF117" s="1010">
        <v>0.3</v>
      </c>
      <c r="AG117" s="1011">
        <v>0.1</v>
      </c>
      <c r="AH117" s="1320"/>
      <c r="AI117" s="1320"/>
      <c r="AJ117" s="217"/>
      <c r="AK117" s="225"/>
      <c r="BD117" s="225"/>
      <c r="BF117" s="924"/>
      <c r="BG117" s="225"/>
    </row>
    <row r="118" spans="1:59" s="509" customFormat="1" ht="14.25" thickBot="1">
      <c r="A118" s="1121" t="s">
        <v>396</v>
      </c>
      <c r="B118" s="515" t="s">
        <v>59</v>
      </c>
      <c r="C118" s="516">
        <v>800</v>
      </c>
      <c r="D118" s="517">
        <f t="shared" si="81"/>
        <v>137.50000000000003</v>
      </c>
      <c r="E118" s="518">
        <f t="shared" si="75"/>
        <v>111.19999999999999</v>
      </c>
      <c r="F118" s="518">
        <f t="shared" si="76"/>
        <v>184</v>
      </c>
      <c r="G118" s="519">
        <f>M118</f>
        <v>73.68989769820972</v>
      </c>
      <c r="H118" s="520"/>
      <c r="I118" s="521">
        <f t="shared" si="77"/>
        <v>220.00000000000003</v>
      </c>
      <c r="J118" s="522">
        <f t="shared" si="78"/>
        <v>160</v>
      </c>
      <c r="K118" s="522">
        <f t="shared" si="79"/>
        <v>320</v>
      </c>
      <c r="L118" s="523">
        <f t="shared" si="80"/>
        <v>100</v>
      </c>
      <c r="M118" s="530">
        <f>((LARGE(N118:R118,1)+LARGE(N118:R118,2)))/2</f>
        <v>73.68989769820972</v>
      </c>
      <c r="N118" s="521">
        <f>IF(성적입력!G$3=0,0,(75-(((101-성적입력!G$4)*(101-성적입력!G$5))/(HLOOKUP(성적입력!G$3,계산도구!$AN$1:$BZ$3,2,FALSE)-HLOOKUP(성적입력!G$3,계산도구!$AN$1:$BZ$3,3,FALSE)+25)*0.75)))</f>
        <v>73.923913043478265</v>
      </c>
      <c r="O118" s="522">
        <f>IF(성적입력!H$3=0,0,(75-(((101-성적입력!H$4)*(101-성적입력!H$5))/(HLOOKUP(성적입력!H$3,계산도구!$AN$1:$BZ$3,2,FALSE)-HLOOKUP(성적입력!H$3,계산도구!$AN$1:$BZ$3,3,FALSE)+25)*0.75)))</f>
        <v>73.455882352941174</v>
      </c>
      <c r="P118" s="522">
        <f>IF(성적입력!I$3=0,0,(75-(((101-성적입력!I$4)*(101-성적입력!I$5))/(HLOOKUP(성적입력!I$3,계산도구!$AN$1:$BZ$3,2,FALSE)-HLOOKUP(성적입력!I$3,계산도구!$AN$1:$BZ$3,3,FALSE)+25)*0.75)))</f>
        <v>70.186708860759495</v>
      </c>
      <c r="Q118" s="522">
        <f>IF(성적입력!J$3=0,0,(75-(((101-성적입력!J$4)*(101-성적입력!J$5))/(HLOOKUP(성적입력!J$3,계산도구!$AN$1:$BZ$3,2,FALSE)-HLOOKUP(성적입력!J$3,계산도구!$AN$1:$BZ$3,3,FALSE)+25)*0.75)))</f>
        <v>55.720588235294116</v>
      </c>
      <c r="R118" s="523">
        <f>IF(성적입력!K$3=0,0,(75-(((101-성적입력!K$4)*(101-성적입력!K$5))/(HLOOKUP(성적입력!K$3,계산도구!$AN$1:$BZ$3,2,FALSE)-HLOOKUP(성적입력!K$3,계산도구!$AN$1:$BZ$3,3,FALSE)+25)*0.75)))</f>
        <v>29.888888888888893</v>
      </c>
      <c r="S118" s="520"/>
      <c r="T118" s="524">
        <f>성적입력!D$4/계산도구!X118</f>
        <v>0.625</v>
      </c>
      <c r="U118" s="525">
        <f>성적입력!E$4/계산도구!Y118</f>
        <v>0.69499999999999995</v>
      </c>
      <c r="V118" s="526">
        <f>성적입력!F$4/계산도구!Z118</f>
        <v>0.57499999999999996</v>
      </c>
      <c r="W118" s="527"/>
      <c r="X118" s="528">
        <v>200</v>
      </c>
      <c r="Y118" s="509">
        <v>200</v>
      </c>
      <c r="Z118" s="509">
        <v>200</v>
      </c>
      <c r="AB118" s="529"/>
      <c r="AC118" s="520"/>
      <c r="AD118" s="1012">
        <v>0.27500000000000002</v>
      </c>
      <c r="AE118" s="1013">
        <v>0.2</v>
      </c>
      <c r="AF118" s="1013">
        <v>0.4</v>
      </c>
      <c r="AG118" s="1014">
        <v>0.125</v>
      </c>
      <c r="AH118" s="1353"/>
      <c r="AI118" s="1353"/>
      <c r="AJ118" s="520"/>
      <c r="AK118" s="528"/>
      <c r="AL118" s="873"/>
      <c r="AM118" s="873"/>
      <c r="AN118" s="873"/>
      <c r="AO118" s="873"/>
      <c r="AP118" s="873"/>
      <c r="AQ118" s="873"/>
      <c r="AR118" s="873"/>
      <c r="AS118" s="873"/>
      <c r="AT118" s="873"/>
      <c r="AU118" s="873"/>
      <c r="AV118" s="873"/>
      <c r="AW118" s="873"/>
      <c r="AX118" s="873"/>
      <c r="AY118" s="873"/>
      <c r="AZ118" s="873"/>
      <c r="BA118" s="873"/>
      <c r="BB118" s="873"/>
      <c r="BC118" s="1223"/>
      <c r="BD118" s="528"/>
      <c r="BF118" s="1224"/>
      <c r="BG118" s="528"/>
    </row>
    <row r="119" spans="1:59" s="100" customFormat="1" ht="14.25" thickBot="1">
      <c r="A119" s="1095" t="s">
        <v>397</v>
      </c>
      <c r="B119" s="984" t="s">
        <v>286</v>
      </c>
      <c r="C119" s="975">
        <v>700</v>
      </c>
      <c r="D119" s="422">
        <f t="shared" si="81"/>
        <v>178.75</v>
      </c>
      <c r="E119" s="179">
        <f t="shared" si="75"/>
        <v>189.3047619047619</v>
      </c>
      <c r="F119" s="179">
        <f t="shared" si="76"/>
        <v>162.13380281690141</v>
      </c>
      <c r="G119" s="180">
        <f>M119*L119</f>
        <v>98.281749999999988</v>
      </c>
      <c r="H119" s="92"/>
      <c r="I119" s="96">
        <f t="shared" si="77"/>
        <v>200.2</v>
      </c>
      <c r="J119" s="97">
        <f t="shared" si="78"/>
        <v>200.2</v>
      </c>
      <c r="K119" s="97">
        <f t="shared" si="79"/>
        <v>200.2</v>
      </c>
      <c r="L119" s="169">
        <f t="shared" si="80"/>
        <v>99.399999999999991</v>
      </c>
      <c r="M119" s="661">
        <f>(LARGE(N119:R119,1)+LARGE(N119:R119,2))/2</f>
        <v>0.98875000000000002</v>
      </c>
      <c r="N119" s="96">
        <f>VLOOKUP(성적입력!G$5,보정점수표!$A$3:$M$103,7,FALSE)/$AA119</f>
        <v>0.99097222222222214</v>
      </c>
      <c r="O119" s="97">
        <f>VLOOKUP(성적입력!H$5,보정점수표!$A$3:$M$103,7,FALSE)/$AA119</f>
        <v>0.98652777777777778</v>
      </c>
      <c r="P119" s="127">
        <f>VLOOKUP(성적입력!I$5,보정점수표!$A$3:$M$103,7,FALSE)/$AA119</f>
        <v>0.94597222222222221</v>
      </c>
      <c r="Q119" s="127">
        <f>VLOOKUP(성적입력!J$5,보정점수표!$A$3:$M$103,7,FALSE)/$AA119</f>
        <v>0.83347222222222217</v>
      </c>
      <c r="R119" s="154">
        <f>VLOOKUP(성적입력!K$5,보정점수표!$M$3:$V$103,7,FALSE)/AB119</f>
        <v>0.63097222222222227</v>
      </c>
      <c r="S119" s="92"/>
      <c r="T119" s="98">
        <f>성적입력!D$4/계산도구!X119</f>
        <v>0.8928571428571429</v>
      </c>
      <c r="U119" s="94">
        <f>성적입력!E$4/계산도구!Y119</f>
        <v>0.94557823129251706</v>
      </c>
      <c r="V119" s="95">
        <f>성적입력!F$4/계산도구!Z119</f>
        <v>0.8098591549295775</v>
      </c>
      <c r="W119" s="99"/>
      <c r="X119" s="1135">
        <f t="shared" ref="X119:Z124" si="82">AK$2</f>
        <v>140</v>
      </c>
      <c r="Y119" s="1131">
        <f t="shared" si="82"/>
        <v>147</v>
      </c>
      <c r="Z119" s="1131">
        <f t="shared" si="82"/>
        <v>142</v>
      </c>
      <c r="AA119" s="1131">
        <f>보정점수표!$G$3</f>
        <v>72</v>
      </c>
      <c r="AB119" s="1133">
        <f>보정점수표!$S$3</f>
        <v>72</v>
      </c>
      <c r="AC119" s="92"/>
      <c r="AD119" s="983">
        <v>0.28599999999999998</v>
      </c>
      <c r="AE119" s="977">
        <v>0.28599999999999998</v>
      </c>
      <c r="AF119" s="977">
        <v>0.28599999999999998</v>
      </c>
      <c r="AG119" s="978">
        <v>0.14199999999999999</v>
      </c>
      <c r="AH119" s="1327"/>
      <c r="AI119" s="1327"/>
      <c r="AJ119" s="92"/>
      <c r="AK119" s="93"/>
      <c r="BD119" s="93"/>
      <c r="BF119" s="871"/>
      <c r="BG119" s="93"/>
    </row>
    <row r="120" spans="1:59" s="125" customFormat="1">
      <c r="A120" s="1097" t="s">
        <v>398</v>
      </c>
      <c r="B120" s="270" t="s">
        <v>233</v>
      </c>
      <c r="C120" s="448">
        <v>700</v>
      </c>
      <c r="D120" s="424">
        <f t="shared" si="81"/>
        <v>187.5</v>
      </c>
      <c r="E120" s="258">
        <f t="shared" si="75"/>
        <v>165.47619047619048</v>
      </c>
      <c r="F120" s="258">
        <f>IF((V120*0.9+R120*0.1)&gt;V120,(V120*0.9+R120*0.1)*K120,V120*K120)</f>
        <v>170.07042253521126</v>
      </c>
      <c r="G120" s="271">
        <f>M120*L120</f>
        <v>101.21739130434783</v>
      </c>
      <c r="H120" s="128"/>
      <c r="I120" s="203">
        <f t="shared" si="77"/>
        <v>210</v>
      </c>
      <c r="J120" s="259">
        <f t="shared" si="78"/>
        <v>175</v>
      </c>
      <c r="K120" s="259">
        <f t="shared" si="79"/>
        <v>210</v>
      </c>
      <c r="L120" s="276">
        <f t="shared" si="80"/>
        <v>105</v>
      </c>
      <c r="M120" s="635">
        <f>(LARGE($N$14:$R$14,1)+LARGE($N$14:$R$14,2))/2</f>
        <v>0.96397515527950306</v>
      </c>
      <c r="N120" s="203">
        <f>IF(성적입력!G$3=0,0,성적입력!G$4/HLOOKUP(성적입력!G$3,계산도구!$AN$1:$BZ$3,2,FALSE))</f>
        <v>0.97142857142857142</v>
      </c>
      <c r="O120" s="259">
        <f>IF(성적입력!H$3=0,0,성적입력!H$4/HLOOKUP(성적입력!H$3,계산도구!$AN$1:$BZ$3,2,FALSE))</f>
        <v>0.95652173913043481</v>
      </c>
      <c r="P120" s="260">
        <f>IF(성적입력!I$3=0,0,성적입력!I$4/HLOOKUP(성적입력!I$3,계산도구!$AN$1:$BZ$3,2,FALSE))</f>
        <v>0.81578947368421051</v>
      </c>
      <c r="Q120" s="260">
        <f>IF(성적입력!J$3=0,0,성적입력!J$4/HLOOKUP(성적입력!J$3,계산도구!$AN$1:$BZ$3,2,FALSE))</f>
        <v>0.79710144927536231</v>
      </c>
      <c r="R120" s="272">
        <f>IF(성적입력!K$3=0,0,성적입력!K$4/HLOOKUP(성적입력!K$3,계산도구!$AN$1:$BZ$3,2,FALSE))</f>
        <v>0.4777777777777778</v>
      </c>
      <c r="S120" s="128"/>
      <c r="T120" s="273">
        <f>성적입력!D$4/계산도구!X120</f>
        <v>0.8928571428571429</v>
      </c>
      <c r="U120" s="261">
        <f>성적입력!E$4/계산도구!Y120</f>
        <v>0.94557823129251706</v>
      </c>
      <c r="V120" s="274">
        <f>성적입력!F$4/계산도구!Z120</f>
        <v>0.8098591549295775</v>
      </c>
      <c r="W120" s="275"/>
      <c r="X120" s="139">
        <f t="shared" si="82"/>
        <v>140</v>
      </c>
      <c r="Y120" s="125">
        <f t="shared" si="82"/>
        <v>147</v>
      </c>
      <c r="Z120" s="125">
        <f t="shared" si="82"/>
        <v>142</v>
      </c>
      <c r="AB120" s="143"/>
      <c r="AC120" s="128"/>
      <c r="AD120" s="561">
        <v>0.3</v>
      </c>
      <c r="AE120" s="562">
        <v>0.25</v>
      </c>
      <c r="AF120" s="562">
        <v>0.3</v>
      </c>
      <c r="AG120" s="563">
        <v>0.15</v>
      </c>
      <c r="AH120" s="1329"/>
      <c r="AI120" s="1329"/>
      <c r="AJ120" s="128"/>
      <c r="AK120" s="139"/>
      <c r="BD120" s="139"/>
      <c r="BF120" s="147"/>
      <c r="BG120" s="139"/>
    </row>
    <row r="121" spans="1:59" s="122" customFormat="1">
      <c r="A121" s="1098" t="s">
        <v>399</v>
      </c>
      <c r="B121" s="630" t="s">
        <v>232</v>
      </c>
      <c r="C121" s="617">
        <v>700</v>
      </c>
      <c r="D121" s="618">
        <f t="shared" si="81"/>
        <v>156.25</v>
      </c>
      <c r="E121" s="619">
        <f t="shared" si="75"/>
        <v>198.57142857142858</v>
      </c>
      <c r="F121" s="619">
        <f>IF((V121*0.9+R121*0.1)&gt;V121,(V121*0.9+R121*0.1)*K121,V121*K121)</f>
        <v>170.07042253521126</v>
      </c>
      <c r="G121" s="620">
        <f>M121*L121</f>
        <v>101.21739130434783</v>
      </c>
      <c r="H121" s="132"/>
      <c r="I121" s="621">
        <f t="shared" si="77"/>
        <v>175</v>
      </c>
      <c r="J121" s="622">
        <f t="shared" si="78"/>
        <v>210</v>
      </c>
      <c r="K121" s="622">
        <f t="shared" si="79"/>
        <v>210</v>
      </c>
      <c r="L121" s="623">
        <f t="shared" si="80"/>
        <v>105</v>
      </c>
      <c r="M121" s="634">
        <f>(LARGE($N$14:$R$14,1)+LARGE($N$14:$R$14,2))/2</f>
        <v>0.96397515527950306</v>
      </c>
      <c r="N121" s="621">
        <f>IF(성적입력!G$3=0,0,성적입력!G$4/HLOOKUP(성적입력!G$3,계산도구!$AN$1:$BZ$3,2,FALSE))</f>
        <v>0.97142857142857142</v>
      </c>
      <c r="O121" s="622">
        <f>IF(성적입력!H$3=0,0,성적입력!H$4/HLOOKUP(성적입력!H$3,계산도구!$AN$1:$BZ$3,2,FALSE))</f>
        <v>0.95652173913043481</v>
      </c>
      <c r="P121" s="624">
        <f>IF(성적입력!I$3=0,0,성적입력!I$4/HLOOKUP(성적입력!I$3,계산도구!$AN$1:$BZ$3,2,FALSE))</f>
        <v>0.81578947368421051</v>
      </c>
      <c r="Q121" s="624">
        <f>IF(성적입력!J$3=0,0,성적입력!J$4/HLOOKUP(성적입력!J$3,계산도구!$AN$1:$BZ$3,2,FALSE))</f>
        <v>0.79710144927536231</v>
      </c>
      <c r="R121" s="625">
        <f>IF(성적입력!K$3=0,0,성적입력!K$4/HLOOKUP(성적입력!K$3,계산도구!$AN$1:$BZ$3,2,FALSE))</f>
        <v>0.4777777777777778</v>
      </c>
      <c r="S121" s="132"/>
      <c r="T121" s="626">
        <f>성적입력!D$4/계산도구!X121</f>
        <v>0.8928571428571429</v>
      </c>
      <c r="U121" s="627">
        <f>성적입력!E$4/계산도구!Y121</f>
        <v>0.94557823129251706</v>
      </c>
      <c r="V121" s="628">
        <f>성적입력!F$4/계산도구!Z121</f>
        <v>0.8098591549295775</v>
      </c>
      <c r="W121" s="629"/>
      <c r="X121" s="138">
        <f t="shared" si="82"/>
        <v>140</v>
      </c>
      <c r="Y121" s="122">
        <f t="shared" si="82"/>
        <v>147</v>
      </c>
      <c r="Z121" s="122">
        <f t="shared" si="82"/>
        <v>142</v>
      </c>
      <c r="AB121" s="142"/>
      <c r="AC121" s="132"/>
      <c r="AD121" s="631">
        <v>0.25</v>
      </c>
      <c r="AE121" s="632">
        <v>0.3</v>
      </c>
      <c r="AF121" s="632">
        <v>0.3</v>
      </c>
      <c r="AG121" s="633">
        <v>0.15</v>
      </c>
      <c r="AH121" s="1330"/>
      <c r="AI121" s="1330"/>
      <c r="AJ121" s="132"/>
      <c r="AK121" s="138"/>
      <c r="BD121" s="138"/>
      <c r="BF121" s="146"/>
      <c r="BG121" s="138"/>
    </row>
    <row r="122" spans="1:59" s="126" customFormat="1" ht="14.25" thickBot="1">
      <c r="A122" s="1099" t="s">
        <v>400</v>
      </c>
      <c r="B122" s="1015" t="s">
        <v>289</v>
      </c>
      <c r="C122" s="449">
        <v>700</v>
      </c>
      <c r="D122" s="425">
        <f t="shared" si="81"/>
        <v>156.25</v>
      </c>
      <c r="E122" s="266">
        <f t="shared" si="75"/>
        <v>198.57142857142858</v>
      </c>
      <c r="F122" s="266">
        <f>IF((V122*0.9+R122*0.1)&gt;V122,(V122*0.9+R122*0.1)*K122,V122*K122)</f>
        <v>170.07042253521126</v>
      </c>
      <c r="G122" s="278">
        <f>M122*L122</f>
        <v>101.21739130434783</v>
      </c>
      <c r="H122" s="130"/>
      <c r="I122" s="279">
        <f t="shared" si="77"/>
        <v>175</v>
      </c>
      <c r="J122" s="267">
        <f t="shared" si="78"/>
        <v>210</v>
      </c>
      <c r="K122" s="267">
        <f t="shared" si="79"/>
        <v>210</v>
      </c>
      <c r="L122" s="284">
        <f t="shared" si="80"/>
        <v>105</v>
      </c>
      <c r="M122" s="636">
        <f>(LARGE($N$14:$R$14,1)+LARGE($N$14:$R$14,2))/2</f>
        <v>0.96397515527950306</v>
      </c>
      <c r="N122" s="279">
        <f>IF(성적입력!G$3=0,0,성적입력!G$4/HLOOKUP(성적입력!G$3,계산도구!$AN$1:$BZ$3,2,FALSE))</f>
        <v>0.97142857142857142</v>
      </c>
      <c r="O122" s="267">
        <f>IF(성적입력!H$3=0,0,성적입력!H$4/HLOOKUP(성적입력!H$3,계산도구!$AN$1:$BZ$3,2,FALSE))</f>
        <v>0.95652173913043481</v>
      </c>
      <c r="P122" s="268">
        <f>IF(성적입력!I$3=0,0,성적입력!I$4/HLOOKUP(성적입력!I$3,계산도구!$AN$1:$BZ$3,2,FALSE))</f>
        <v>0.81578947368421051</v>
      </c>
      <c r="Q122" s="268">
        <f>IF(성적입력!J$3=0,0,성적입력!J$4/HLOOKUP(성적입력!J$3,계산도구!$AN$1:$BZ$3,2,FALSE))</f>
        <v>0.79710144927536231</v>
      </c>
      <c r="R122" s="280">
        <f>IF(성적입력!K$3=0,0,성적입력!K$4/HLOOKUP(성적입력!K$3,계산도구!$AN$1:$BZ$3,2,FALSE))</f>
        <v>0.4777777777777778</v>
      </c>
      <c r="S122" s="130"/>
      <c r="T122" s="281">
        <f>성적입력!D$4/계산도구!X122</f>
        <v>0.8928571428571429</v>
      </c>
      <c r="U122" s="269">
        <f>성적입력!E$4/계산도구!Y122</f>
        <v>0.94557823129251706</v>
      </c>
      <c r="V122" s="282">
        <f>성적입력!F$4/계산도구!Z122</f>
        <v>0.8098591549295775</v>
      </c>
      <c r="W122" s="283"/>
      <c r="X122" s="141">
        <f t="shared" si="82"/>
        <v>140</v>
      </c>
      <c r="Y122" s="126">
        <f t="shared" si="82"/>
        <v>147</v>
      </c>
      <c r="Z122" s="126">
        <f t="shared" si="82"/>
        <v>142</v>
      </c>
      <c r="AB122" s="145"/>
      <c r="AC122" s="130"/>
      <c r="AD122" s="564">
        <v>0.25</v>
      </c>
      <c r="AE122" s="565">
        <v>0.3</v>
      </c>
      <c r="AF122" s="565">
        <v>0.3</v>
      </c>
      <c r="AG122" s="566">
        <v>0.15</v>
      </c>
      <c r="AH122" s="1331"/>
      <c r="AI122" s="1331"/>
      <c r="AJ122" s="130"/>
      <c r="AK122" s="141"/>
      <c r="BD122" s="141"/>
      <c r="BF122" s="149"/>
      <c r="BG122" s="141"/>
    </row>
    <row r="123" spans="1:59" s="1178" customFormat="1">
      <c r="A123" s="1165" t="s">
        <v>414</v>
      </c>
      <c r="B123" s="1166" t="s">
        <v>416</v>
      </c>
      <c r="C123" s="1167">
        <v>950</v>
      </c>
      <c r="D123" s="1168">
        <f>(성적입력!D$4/$H123)*I123</f>
        <v>335.71751667985978</v>
      </c>
      <c r="E123" s="1168">
        <f>(성적입력!E$4/$H123)*J123</f>
        <v>0</v>
      </c>
      <c r="F123" s="1168">
        <f>(성적입력!F$4/$H123)*K123</f>
        <v>308.860115345471</v>
      </c>
      <c r="G123" s="1169">
        <f>(M123/$H123)*L123</f>
        <v>179.10305703192734</v>
      </c>
      <c r="H123" s="1170">
        <f>IF($R123&lt;LARGE($N123:$Q123,3),(X123*AD123+Y123*AE123+Z123*AF123+AA123*AG123*2),(X123*AD123+Y123*AE123+Z123*AF123+(AA123*2+AB123)/3*2*AG123))</f>
        <v>141.488</v>
      </c>
      <c r="I123" s="1171">
        <f>AD123*$C123</f>
        <v>380</v>
      </c>
      <c r="J123" s="1172">
        <f t="shared" si="78"/>
        <v>0</v>
      </c>
      <c r="K123" s="1172">
        <f t="shared" si="79"/>
        <v>380</v>
      </c>
      <c r="L123" s="1173">
        <f t="shared" si="80"/>
        <v>190</v>
      </c>
      <c r="M123" s="1184">
        <f>(LARGE(N123:R123,1)+LARGE(N123:R123,2)+LARGE(N123:R123,3))*2/3</f>
        <v>133.37333333333333</v>
      </c>
      <c r="N123" s="1171">
        <f>VLOOKUP(성적입력!G$5,보정점수표!$A$3:$M$103,3,FALSE)</f>
        <v>68.819999999999993</v>
      </c>
      <c r="O123" s="1171">
        <f>VLOOKUP(성적입력!H$5,보정점수표!$A$3:$M$103,3,FALSE)</f>
        <v>67.92</v>
      </c>
      <c r="P123" s="1171">
        <f>VLOOKUP(성적입력!I$5,보정점수표!$A$3:$M$103,3,FALSE)</f>
        <v>63.32</v>
      </c>
      <c r="Q123" s="1171">
        <f>VLOOKUP(성적입력!J$5,보정점수표!$A$3:$M$103,3,FALSE)</f>
        <v>53.44</v>
      </c>
      <c r="R123" s="1173">
        <f>VLOOKUP(성적입력!K$5,보정점수표!$M$3:$V$103,3,FALSE)</f>
        <v>41.05</v>
      </c>
      <c r="S123" s="1174"/>
      <c r="T123" s="1175">
        <f>성적입력!D$4/계산도구!X123</f>
        <v>0.8928571428571429</v>
      </c>
      <c r="U123" s="1175">
        <f>성적입력!E$4/계산도구!Y123</f>
        <v>0.94557823129251706</v>
      </c>
      <c r="V123" s="1175">
        <f>성적입력!F$4/계산도구!Z123</f>
        <v>0.8098591549295775</v>
      </c>
      <c r="W123" s="1176"/>
      <c r="X123" s="1177">
        <f t="shared" si="82"/>
        <v>140</v>
      </c>
      <c r="Y123" s="1177">
        <f t="shared" si="82"/>
        <v>147</v>
      </c>
      <c r="Z123" s="1177">
        <f t="shared" si="82"/>
        <v>142</v>
      </c>
      <c r="AA123" s="1178">
        <f>보정점수표!C$3</f>
        <v>71.72</v>
      </c>
      <c r="AB123" s="1179">
        <f>보정점수표!O$3</f>
        <v>75.62</v>
      </c>
      <c r="AC123" s="1174"/>
      <c r="AD123" s="1180">
        <v>0.4</v>
      </c>
      <c r="AE123" s="1181"/>
      <c r="AF123" s="1181">
        <v>0.4</v>
      </c>
      <c r="AG123" s="1182">
        <v>0.2</v>
      </c>
      <c r="AH123" s="1369"/>
      <c r="AI123" s="1369"/>
      <c r="AJ123" s="1174"/>
      <c r="AK123" s="1177"/>
      <c r="BD123" s="1177"/>
      <c r="BF123" s="1183"/>
      <c r="BG123" s="1177"/>
    </row>
    <row r="124" spans="1:59" s="1159" customFormat="1" ht="14.25" thickBot="1">
      <c r="A124" s="1146" t="s">
        <v>415</v>
      </c>
      <c r="B124" s="1147" t="s">
        <v>417</v>
      </c>
      <c r="C124" s="1148">
        <v>950</v>
      </c>
      <c r="D124" s="1149">
        <f>(성적입력!D$4/$H124)*I124</f>
        <v>237.39627608860127</v>
      </c>
      <c r="E124" s="1149">
        <f>(성적입력!E$4/$H124)*J124</f>
        <v>263.98465901052464</v>
      </c>
      <c r="F124" s="1149">
        <f>(성적입력!F$4/$H124)*K124</f>
        <v>218.4045740015132</v>
      </c>
      <c r="G124" s="1150">
        <f>(M124/$H124)*L124</f>
        <v>125.76367099652309</v>
      </c>
      <c r="H124" s="1151">
        <f>IF($R124&lt;LARGE($N124:$Q124,3),(X124*AD124+Y124*AE124+Z124*AF124+AA124*AG124*2),(X124*AD124+Y124*AE124+Z124*AF124+(AA124*2+AB124)/3*2*AG124))</f>
        <v>143.06247999999999</v>
      </c>
      <c r="I124" s="1152">
        <f>AD124*$C124</f>
        <v>271.7</v>
      </c>
      <c r="J124" s="1153">
        <f t="shared" si="78"/>
        <v>271.7</v>
      </c>
      <c r="K124" s="1153">
        <f t="shared" si="79"/>
        <v>271.7</v>
      </c>
      <c r="L124" s="1154">
        <f t="shared" si="80"/>
        <v>134.89999999999998</v>
      </c>
      <c r="M124" s="1185">
        <f>(LARGE(N124:R124,1)+LARGE(N124:R124,2)+LARGE(N124:R124,3))*2/3</f>
        <v>133.37333333333333</v>
      </c>
      <c r="N124" s="1152">
        <f>VLOOKUP(성적입력!G$5,보정점수표!$A$3:$M$103,3,FALSE)</f>
        <v>68.819999999999993</v>
      </c>
      <c r="O124" s="1152">
        <f>VLOOKUP(성적입력!H$5,보정점수표!$A$3:$M$103,3,FALSE)</f>
        <v>67.92</v>
      </c>
      <c r="P124" s="1152">
        <f>VLOOKUP(성적입력!I$5,보정점수표!$A$3:$M$103,3,FALSE)</f>
        <v>63.32</v>
      </c>
      <c r="Q124" s="1152">
        <f>VLOOKUP(성적입력!J$5,보정점수표!$A$3:$M$103,3,FALSE)</f>
        <v>53.44</v>
      </c>
      <c r="R124" s="1154">
        <f>VLOOKUP(성적입력!K$5,보정점수표!$M$3:$V$103,3,FALSE)</f>
        <v>41.05</v>
      </c>
      <c r="S124" s="1155"/>
      <c r="T124" s="1156">
        <f>성적입력!D$4/계산도구!X124</f>
        <v>0.8928571428571429</v>
      </c>
      <c r="U124" s="1156">
        <f>성적입력!E$4/계산도구!Y124</f>
        <v>0.94557823129251706</v>
      </c>
      <c r="V124" s="1156">
        <f>성적입력!F$4/계산도구!Z124</f>
        <v>0.8098591549295775</v>
      </c>
      <c r="W124" s="1157"/>
      <c r="X124" s="1158">
        <f t="shared" si="82"/>
        <v>140</v>
      </c>
      <c r="Y124" s="1158">
        <f t="shared" si="82"/>
        <v>147</v>
      </c>
      <c r="Z124" s="1158">
        <f t="shared" si="82"/>
        <v>142</v>
      </c>
      <c r="AA124" s="1159">
        <f>보정점수표!C$3</f>
        <v>71.72</v>
      </c>
      <c r="AB124" s="1160">
        <f>보정점수표!O$3</f>
        <v>75.62</v>
      </c>
      <c r="AC124" s="1155"/>
      <c r="AD124" s="1161">
        <v>0.28599999999999998</v>
      </c>
      <c r="AE124" s="1162">
        <v>0.28599999999999998</v>
      </c>
      <c r="AF124" s="1162">
        <v>0.28599999999999998</v>
      </c>
      <c r="AG124" s="1163">
        <v>0.14199999999999999</v>
      </c>
      <c r="AH124" s="1370"/>
      <c r="AI124" s="1370"/>
      <c r="AJ124" s="1155"/>
      <c r="AK124" s="1158"/>
      <c r="BD124" s="1158"/>
      <c r="BF124" s="1164"/>
      <c r="BG124" s="1158"/>
    </row>
    <row r="125" spans="1:59" s="1002" customFormat="1">
      <c r="A125" s="1091" t="s">
        <v>420</v>
      </c>
      <c r="B125" s="985" t="s">
        <v>416</v>
      </c>
      <c r="C125" s="986">
        <v>500</v>
      </c>
      <c r="D125" s="987">
        <f t="shared" ref="D125:F127" si="83">T125*I125</f>
        <v>104.16666666666666</v>
      </c>
      <c r="E125" s="988">
        <f t="shared" si="83"/>
        <v>0</v>
      </c>
      <c r="F125" s="988">
        <f t="shared" si="83"/>
        <v>95.833333333333314</v>
      </c>
      <c r="G125" s="989">
        <f>M125*L125</f>
        <v>114.26666666666665</v>
      </c>
      <c r="H125" s="990"/>
      <c r="I125" s="991">
        <f>AD125*$C125</f>
        <v>166.66666666666666</v>
      </c>
      <c r="J125" s="992">
        <f t="shared" si="78"/>
        <v>0</v>
      </c>
      <c r="K125" s="992">
        <f t="shared" si="79"/>
        <v>166.66666666666666</v>
      </c>
      <c r="L125" s="993">
        <f t="shared" si="80"/>
        <v>166.66666666666666</v>
      </c>
      <c r="M125" s="994">
        <f>(LARGE(N125:R125,1)+LARGE(N125:R125,2))/2</f>
        <v>0.68559999999999999</v>
      </c>
      <c r="N125" s="991">
        <f>VLOOKUP(성적입력!G$5,보정점수표!$A$3:$M$103,2,FALSE)/$AA125</f>
        <v>0.69059999999999999</v>
      </c>
      <c r="O125" s="992">
        <f>VLOOKUP(성적입력!H$5,보정점수표!$A$3:$M$103,2,FALSE)/$AA125</f>
        <v>0.68059999999999998</v>
      </c>
      <c r="P125" s="992">
        <f>VLOOKUP(성적입력!I$5,보정점수표!$A$3:$M$103,2,FALSE)/$AA125</f>
        <v>0.63329999999999997</v>
      </c>
      <c r="Q125" s="992">
        <f>VLOOKUP(성적입력!J$5,보정점수표!$A$3:$M$103,2,FALSE)/$AA125</f>
        <v>0.53449999999999998</v>
      </c>
      <c r="R125" s="996">
        <f>VLOOKUP(성적입력!K$5,보정점수표!$M$3:$T$103,2,FALSE)/$AB125</f>
        <v>0.39659999999999995</v>
      </c>
      <c r="S125" s="990"/>
      <c r="T125" s="997">
        <f>성적입력!D$4/계산도구!X125</f>
        <v>0.625</v>
      </c>
      <c r="U125" s="998">
        <f>성적입력!E$4/계산도구!Y125</f>
        <v>0.69499999999999995</v>
      </c>
      <c r="V125" s="999">
        <f>성적입력!F$4/계산도구!Z125</f>
        <v>0.57499999999999996</v>
      </c>
      <c r="W125" s="1000"/>
      <c r="X125" s="1001">
        <v>200</v>
      </c>
      <c r="Y125" s="1002">
        <v>200</v>
      </c>
      <c r="Z125" s="1002">
        <v>200</v>
      </c>
      <c r="AA125" s="1002">
        <v>100</v>
      </c>
      <c r="AB125" s="1003">
        <v>100</v>
      </c>
      <c r="AC125" s="990"/>
      <c r="AD125" s="1198">
        <f>2/6</f>
        <v>0.33333333333333331</v>
      </c>
      <c r="AE125" s="1199"/>
      <c r="AF125" s="1199">
        <f>2/6</f>
        <v>0.33333333333333331</v>
      </c>
      <c r="AG125" s="1200">
        <f>2/6</f>
        <v>0.33333333333333331</v>
      </c>
      <c r="AH125" s="1323"/>
      <c r="AI125" s="1323"/>
      <c r="AJ125" s="1234"/>
      <c r="AK125" s="1235"/>
      <c r="AL125" s="1236"/>
      <c r="AM125" s="1236"/>
      <c r="AN125" s="1236"/>
      <c r="AO125" s="1236"/>
      <c r="AP125" s="1236"/>
      <c r="AQ125" s="1236"/>
      <c r="AR125" s="1236"/>
      <c r="AS125" s="1236"/>
      <c r="AT125" s="1236"/>
      <c r="AU125" s="1236"/>
      <c r="AV125" s="1236"/>
      <c r="AW125" s="1236"/>
      <c r="AX125" s="1236"/>
      <c r="AY125" s="1236"/>
      <c r="AZ125" s="1236"/>
      <c r="BA125" s="1236"/>
      <c r="BB125" s="1236"/>
      <c r="BC125" s="1236"/>
      <c r="BD125" s="1001"/>
      <c r="BF125" s="1007"/>
      <c r="BG125" s="1001"/>
    </row>
    <row r="126" spans="1:59" s="112" customFormat="1" ht="14.25" thickBot="1">
      <c r="A126" s="1201" t="s">
        <v>421</v>
      </c>
      <c r="B126" s="1202" t="s">
        <v>422</v>
      </c>
      <c r="C126" s="1203">
        <v>500</v>
      </c>
      <c r="D126" s="1204">
        <f t="shared" si="83"/>
        <v>78.125</v>
      </c>
      <c r="E126" s="1205">
        <f t="shared" si="83"/>
        <v>86.875</v>
      </c>
      <c r="F126" s="1205">
        <f t="shared" si="83"/>
        <v>71.875</v>
      </c>
      <c r="G126" s="1206">
        <f>M126*L126</f>
        <v>85.7</v>
      </c>
      <c r="H126" s="1207"/>
      <c r="I126" s="1208">
        <f>AD126*$C126</f>
        <v>125</v>
      </c>
      <c r="J126" s="1209">
        <f t="shared" si="78"/>
        <v>125</v>
      </c>
      <c r="K126" s="1209">
        <f t="shared" si="79"/>
        <v>125</v>
      </c>
      <c r="L126" s="1210">
        <f t="shared" si="80"/>
        <v>125</v>
      </c>
      <c r="M126" s="1211">
        <f>(LARGE(N126:R126,1)+LARGE(N126:R126,2))/2</f>
        <v>0.68559999999999999</v>
      </c>
      <c r="N126" s="1208">
        <f>VLOOKUP(성적입력!G$5,보정점수표!$A$3:$M$103,2,FALSE)/$AA126</f>
        <v>0.69059999999999999</v>
      </c>
      <c r="O126" s="1209">
        <f>VLOOKUP(성적입력!H$5,보정점수표!$A$3:$M$103,2,FALSE)/$AA126</f>
        <v>0.68059999999999998</v>
      </c>
      <c r="P126" s="1209">
        <f>VLOOKUP(성적입력!I$5,보정점수표!$A$3:$M$103,2,FALSE)/$AA126</f>
        <v>0.63329999999999997</v>
      </c>
      <c r="Q126" s="1209">
        <f>VLOOKUP(성적입력!J$5,보정점수표!$A$3:$M$103,2,FALSE)/$AA126</f>
        <v>0.53449999999999998</v>
      </c>
      <c r="R126" s="1212">
        <f>VLOOKUP(성적입력!K$5,보정점수표!$M$3:$T$103,2,FALSE)/$AB126</f>
        <v>0.39659999999999995</v>
      </c>
      <c r="S126" s="1207"/>
      <c r="T126" s="1213">
        <f>성적입력!D$4/계산도구!X126</f>
        <v>0.625</v>
      </c>
      <c r="U126" s="1214">
        <f>성적입력!E$4/계산도구!Y126</f>
        <v>0.69499999999999995</v>
      </c>
      <c r="V126" s="1215">
        <f>성적입력!F$4/계산도구!Z126</f>
        <v>0.57499999999999996</v>
      </c>
      <c r="W126" s="1216"/>
      <c r="X126" s="111">
        <v>200</v>
      </c>
      <c r="Y126" s="112">
        <v>200</v>
      </c>
      <c r="Z126" s="112">
        <v>200</v>
      </c>
      <c r="AA126" s="112">
        <v>100</v>
      </c>
      <c r="AB126" s="113">
        <v>100</v>
      </c>
      <c r="AC126" s="1207"/>
      <c r="AD126" s="1217">
        <f>2/8</f>
        <v>0.25</v>
      </c>
      <c r="AE126" s="1218">
        <f>2/8</f>
        <v>0.25</v>
      </c>
      <c r="AF126" s="1218">
        <f>2/8</f>
        <v>0.25</v>
      </c>
      <c r="AG126" s="1219">
        <f>2/8</f>
        <v>0.25</v>
      </c>
      <c r="AH126" s="1371"/>
      <c r="AI126" s="1371"/>
      <c r="AJ126" s="1237"/>
      <c r="AK126" s="1238"/>
      <c r="AL126" s="1239"/>
      <c r="AM126" s="1239"/>
      <c r="AN126" s="1239"/>
      <c r="AO126" s="1239"/>
      <c r="AP126" s="1239"/>
      <c r="AQ126" s="1239"/>
      <c r="AR126" s="1239"/>
      <c r="AS126" s="1239"/>
      <c r="AT126" s="1239"/>
      <c r="AU126" s="1239"/>
      <c r="AV126" s="1239"/>
      <c r="AW126" s="1239"/>
      <c r="AX126" s="1239"/>
      <c r="AY126" s="1239"/>
      <c r="AZ126" s="1239"/>
      <c r="BA126" s="1239"/>
      <c r="BB126" s="1239"/>
      <c r="BC126" s="1239"/>
      <c r="BD126" s="111"/>
      <c r="BF126" s="134"/>
      <c r="BG126" s="111"/>
    </row>
    <row r="127" spans="1:59" s="1242" customFormat="1" ht="14.25" thickBot="1">
      <c r="A127" s="1117" t="s">
        <v>487</v>
      </c>
      <c r="B127" s="335" t="s">
        <v>488</v>
      </c>
      <c r="C127" s="454">
        <v>560</v>
      </c>
      <c r="D127" s="430">
        <f t="shared" si="83"/>
        <v>180.32000000000002</v>
      </c>
      <c r="E127" s="336">
        <f t="shared" si="83"/>
        <v>80.64</v>
      </c>
      <c r="F127" s="336">
        <f t="shared" si="83"/>
        <v>143.07999999999998</v>
      </c>
      <c r="G127" s="340">
        <f>M127*L127</f>
        <v>81.899999999999991</v>
      </c>
      <c r="H127" s="341"/>
      <c r="I127" s="338">
        <f>AD127*$C127</f>
        <v>196</v>
      </c>
      <c r="J127" s="339">
        <f>AE127*$C127</f>
        <v>84</v>
      </c>
      <c r="K127" s="339">
        <f>AF127*$C127</f>
        <v>196</v>
      </c>
      <c r="L127" s="349">
        <f>AG127*$C127</f>
        <v>84</v>
      </c>
      <c r="M127" s="337">
        <f>((LARGE(N127:R127,1)+LARGE(N127:R127,2)))/2</f>
        <v>0.97499999999999998</v>
      </c>
      <c r="N127" s="338">
        <f>성적입력!G$5/계산도구!$AA127</f>
        <v>0.98</v>
      </c>
      <c r="O127" s="339">
        <f>성적입력!H$5/계산도구!$AA127</f>
        <v>0.97</v>
      </c>
      <c r="P127" s="339">
        <f>성적입력!I$5/계산도구!$AA127</f>
        <v>0.88</v>
      </c>
      <c r="Q127" s="339">
        <f>성적입력!J$5/계산도구!$AA127</f>
        <v>0.63</v>
      </c>
      <c r="R127" s="342"/>
      <c r="S127" s="341"/>
      <c r="T127" s="343">
        <f>성적입력!D$5/계산도구!X127</f>
        <v>0.92</v>
      </c>
      <c r="U127" s="344">
        <f>성적입력!E$5/계산도구!Y127</f>
        <v>0.96</v>
      </c>
      <c r="V127" s="345">
        <f>성적입력!F$5/계산도구!Z127</f>
        <v>0.73</v>
      </c>
      <c r="W127" s="346"/>
      <c r="X127" s="347">
        <v>100</v>
      </c>
      <c r="Y127" s="1242">
        <v>100</v>
      </c>
      <c r="Z127" s="1242">
        <v>100</v>
      </c>
      <c r="AA127" s="1242">
        <v>100</v>
      </c>
      <c r="AB127" s="348">
        <v>100</v>
      </c>
      <c r="AC127" s="341"/>
      <c r="AD127" s="579">
        <v>0.35</v>
      </c>
      <c r="AE127" s="580">
        <v>0.15</v>
      </c>
      <c r="AF127" s="580">
        <v>0.35</v>
      </c>
      <c r="AG127" s="581">
        <v>0.15</v>
      </c>
      <c r="AH127" s="1358"/>
      <c r="AI127" s="1359"/>
      <c r="AJ127" s="916"/>
      <c r="AK127" s="502"/>
      <c r="BD127" s="347"/>
      <c r="BF127" s="940"/>
      <c r="BG127" s="347"/>
    </row>
    <row r="128" spans="1:59" s="17" customFormat="1">
      <c r="A128" s="1186" t="s">
        <v>401</v>
      </c>
      <c r="B128" s="1187"/>
      <c r="C128" s="1188"/>
      <c r="D128" s="1189"/>
      <c r="E128" s="1190"/>
      <c r="F128" s="1190"/>
      <c r="G128" s="1191"/>
      <c r="H128" s="44"/>
      <c r="I128" s="1192"/>
      <c r="J128" s="1193"/>
      <c r="K128" s="1193"/>
      <c r="L128" s="1194"/>
      <c r="M128" s="1195"/>
      <c r="N128" s="1192"/>
      <c r="O128" s="1193"/>
      <c r="P128" s="1196"/>
      <c r="Q128" s="1196"/>
      <c r="R128" s="1197"/>
      <c r="S128" s="44"/>
      <c r="T128" s="321"/>
      <c r="U128" s="322"/>
      <c r="V128" s="323"/>
      <c r="W128" s="324"/>
      <c r="X128" s="328"/>
      <c r="Y128" s="325"/>
      <c r="Z128" s="325"/>
      <c r="AA128" s="325"/>
      <c r="AB128" s="326"/>
      <c r="AC128" s="327"/>
      <c r="AD128" s="599"/>
      <c r="AE128" s="600"/>
      <c r="AF128" s="600"/>
      <c r="AG128" s="601"/>
      <c r="AH128" s="1372"/>
      <c r="AI128" s="1372"/>
      <c r="AJ128" s="327"/>
      <c r="AK128" s="328"/>
      <c r="AL128" s="325"/>
      <c r="AM128" s="325"/>
      <c r="AN128" s="325"/>
      <c r="AO128" s="325"/>
      <c r="AP128" s="325"/>
      <c r="AQ128" s="325"/>
      <c r="AR128" s="325"/>
      <c r="AS128" s="325"/>
      <c r="AT128" s="325"/>
      <c r="AU128" s="325"/>
      <c r="AV128" s="325"/>
      <c r="AW128" s="325"/>
      <c r="AX128" s="325"/>
      <c r="AY128" s="325"/>
      <c r="AZ128" s="325"/>
      <c r="BA128" s="325"/>
      <c r="BB128" s="325"/>
      <c r="BC128" s="325"/>
      <c r="BD128" s="56"/>
      <c r="BF128" s="1232"/>
      <c r="BG128" s="56"/>
    </row>
    <row r="129" spans="1:3">
      <c r="A129" s="1126"/>
      <c r="B129" s="413" t="s">
        <v>197</v>
      </c>
    </row>
    <row r="130" spans="1:3">
      <c r="A130" s="1612"/>
      <c r="B130" s="413" t="s">
        <v>198</v>
      </c>
      <c r="C130" s="460">
        <v>200</v>
      </c>
    </row>
    <row r="131" spans="1:3">
      <c r="A131" s="1613"/>
      <c r="B131" s="413" t="s">
        <v>199</v>
      </c>
      <c r="C131" s="460" t="s">
        <v>200</v>
      </c>
    </row>
    <row r="132" spans="1:3">
      <c r="A132" s="1610"/>
      <c r="B132" s="413" t="s">
        <v>198</v>
      </c>
      <c r="C132" s="460" t="s">
        <v>201</v>
      </c>
    </row>
    <row r="133" spans="1:3">
      <c r="A133" s="1611"/>
      <c r="B133" s="413" t="s">
        <v>199</v>
      </c>
      <c r="C133" s="460" t="s">
        <v>213</v>
      </c>
    </row>
    <row r="134" spans="1:3">
      <c r="A134" s="1103"/>
      <c r="B134" s="413" t="s">
        <v>202</v>
      </c>
      <c r="C134" s="460" t="s">
        <v>203</v>
      </c>
    </row>
    <row r="135" spans="1:3">
      <c r="A135" s="1127"/>
      <c r="B135" s="413" t="s">
        <v>199</v>
      </c>
      <c r="C135" s="460" t="s">
        <v>204</v>
      </c>
    </row>
    <row r="136" spans="1:3">
      <c r="A136" s="1128"/>
      <c r="B136" s="413" t="s">
        <v>205</v>
      </c>
      <c r="C136" s="460" t="s">
        <v>215</v>
      </c>
    </row>
    <row r="137" spans="1:3">
      <c r="A137" s="1607"/>
      <c r="B137" s="413" t="s">
        <v>198</v>
      </c>
      <c r="C137" s="460">
        <v>200</v>
      </c>
    </row>
    <row r="138" spans="1:3">
      <c r="A138" s="1608"/>
      <c r="B138" s="413" t="s">
        <v>199</v>
      </c>
      <c r="C138" s="460" t="s">
        <v>203</v>
      </c>
    </row>
    <row r="139" spans="1:3">
      <c r="A139" s="1605"/>
      <c r="B139" s="413" t="s">
        <v>255</v>
      </c>
      <c r="C139" s="460" t="s">
        <v>256</v>
      </c>
    </row>
    <row r="140" spans="1:3">
      <c r="A140" s="1606"/>
      <c r="B140" s="413" t="s">
        <v>257</v>
      </c>
      <c r="C140" s="460" t="s">
        <v>258</v>
      </c>
    </row>
  </sheetData>
  <sheetProtection password="CA14" sheet="1" objects="1" scenarios="1"/>
  <mergeCells count="10">
    <mergeCell ref="AH1:AI1"/>
    <mergeCell ref="A139:A140"/>
    <mergeCell ref="A137:A138"/>
    <mergeCell ref="AH99:AI99"/>
    <mergeCell ref="AH103:AI103"/>
    <mergeCell ref="A132:A133"/>
    <mergeCell ref="A130:A131"/>
    <mergeCell ref="AH104:AI104"/>
    <mergeCell ref="AH105:AI105"/>
    <mergeCell ref="AH109:AI109"/>
  </mergeCells>
  <phoneticPr fontId="1" type="noConversion"/>
  <pageMargins left="0.7" right="0.7" top="0.75" bottom="0.75" header="0.3" footer="0.3"/>
  <pageSetup paperSize="9" orientation="portrait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W106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I2" sqref="I1:I1048576"/>
    </sheetView>
  </sheetViews>
  <sheetFormatPr defaultRowHeight="13.5"/>
  <cols>
    <col min="1" max="1" width="9.140625" style="124"/>
    <col min="2" max="2" width="9.140625" style="1374"/>
    <col min="3" max="3" width="9.140625" style="1412"/>
    <col min="4" max="4" width="9.140625" style="1374"/>
    <col min="5" max="5" width="9.140625" style="1412"/>
    <col min="6" max="6" width="9.140625" style="1374"/>
    <col min="7" max="7" width="9.140625" style="1412"/>
    <col min="8" max="8" width="9.140625" style="1374"/>
    <col min="9" max="9" width="9.140625" style="1412"/>
    <col min="10" max="10" width="9.140625" style="1374"/>
    <col min="11" max="11" width="9.140625" style="1412"/>
    <col min="12" max="12" width="9.140625" style="1374"/>
    <col min="13" max="13" width="9.140625" style="124"/>
    <col min="14" max="14" width="9.140625" style="1399"/>
    <col min="15" max="15" width="9.140625" style="1413"/>
    <col min="16" max="16" width="9.140625" style="1374"/>
    <col min="17" max="17" width="9.140625" style="1412"/>
    <col min="18" max="18" width="9.140625" style="1400"/>
    <col min="19" max="19" width="9.140625" style="1412"/>
    <col min="20" max="20" width="9.140625" style="1400"/>
    <col min="21" max="21" width="9.140625" style="1412"/>
    <col min="22" max="22" width="9.140625" style="133"/>
    <col min="23" max="16384" width="9.140625" style="1"/>
  </cols>
  <sheetData>
    <row r="1" spans="1:23">
      <c r="A1" s="123" t="s">
        <v>7</v>
      </c>
      <c r="B1" s="1622" t="s">
        <v>807</v>
      </c>
      <c r="C1" s="1623"/>
      <c r="D1" s="1623"/>
      <c r="E1" s="1623"/>
      <c r="F1" s="1623"/>
      <c r="G1" s="1623"/>
      <c r="H1" s="1623"/>
      <c r="I1" s="1623"/>
      <c r="J1" s="1623"/>
      <c r="K1" s="1623"/>
      <c r="L1" s="1624"/>
      <c r="M1" s="123" t="s">
        <v>808</v>
      </c>
      <c r="N1" s="1588" t="s">
        <v>809</v>
      </c>
      <c r="O1" s="1625"/>
      <c r="P1" s="1625"/>
      <c r="Q1" s="1625"/>
      <c r="R1" s="1625"/>
      <c r="S1" s="1625"/>
      <c r="T1" s="1625"/>
      <c r="U1" s="1625"/>
      <c r="V1" s="1586"/>
    </row>
    <row r="2" spans="1:23" ht="14.25" thickBot="1">
      <c r="A2" s="124" t="s">
        <v>8</v>
      </c>
      <c r="B2" s="1374" t="s">
        <v>810</v>
      </c>
      <c r="C2" s="1412" t="s">
        <v>811</v>
      </c>
      <c r="D2" s="1374" t="s">
        <v>812</v>
      </c>
      <c r="E2" s="1412" t="s">
        <v>813</v>
      </c>
      <c r="F2" s="1374" t="s">
        <v>814</v>
      </c>
      <c r="G2" s="1412" t="s">
        <v>815</v>
      </c>
      <c r="H2" s="1374" t="s">
        <v>816</v>
      </c>
      <c r="I2" s="1412" t="s">
        <v>817</v>
      </c>
      <c r="J2" s="1374" t="s">
        <v>818</v>
      </c>
      <c r="K2" s="1412" t="s">
        <v>819</v>
      </c>
      <c r="L2" s="1374" t="s">
        <v>820</v>
      </c>
      <c r="M2" s="124" t="s">
        <v>821</v>
      </c>
      <c r="N2" s="1399" t="s">
        <v>822</v>
      </c>
      <c r="O2" s="1413" t="s">
        <v>823</v>
      </c>
      <c r="P2" s="1374" t="s">
        <v>824</v>
      </c>
      <c r="Q2" s="1412" t="s">
        <v>813</v>
      </c>
      <c r="R2" s="1400" t="s">
        <v>825</v>
      </c>
      <c r="S2" s="1412" t="s">
        <v>815</v>
      </c>
      <c r="T2" s="1400" t="s">
        <v>818</v>
      </c>
      <c r="U2" s="1412" t="s">
        <v>820</v>
      </c>
    </row>
    <row r="3" spans="1:23" s="18" customFormat="1">
      <c r="A3" s="128">
        <f>103-ROW()</f>
        <v>100</v>
      </c>
      <c r="B3" s="1414">
        <v>71.73</v>
      </c>
      <c r="C3" s="1415">
        <v>71.72</v>
      </c>
      <c r="D3" s="1375">
        <v>71.73</v>
      </c>
      <c r="E3" s="1415">
        <v>71.73</v>
      </c>
      <c r="F3" s="1375"/>
      <c r="G3" s="1415">
        <v>72</v>
      </c>
      <c r="H3" s="1375">
        <v>52.5</v>
      </c>
      <c r="I3" s="1415">
        <v>71.72</v>
      </c>
      <c r="J3" s="1375">
        <v>72.64</v>
      </c>
      <c r="K3" s="1415">
        <v>72.236363636363635</v>
      </c>
      <c r="L3" s="1414">
        <v>71.73</v>
      </c>
      <c r="M3" s="128">
        <f>103-ROW()</f>
        <v>100</v>
      </c>
      <c r="N3" s="1416">
        <v>71.73</v>
      </c>
      <c r="O3" s="1417">
        <v>75.62</v>
      </c>
      <c r="P3" s="1375">
        <v>71.73</v>
      </c>
      <c r="Q3" s="1415">
        <v>71.73</v>
      </c>
      <c r="R3" s="1380"/>
      <c r="S3" s="1415">
        <v>72</v>
      </c>
      <c r="T3" s="1380">
        <v>76</v>
      </c>
      <c r="U3" s="1418">
        <v>75.63</v>
      </c>
      <c r="V3" s="510"/>
      <c r="W3" s="54"/>
    </row>
    <row r="4" spans="1:23" s="116" customFormat="1">
      <c r="A4" s="129">
        <f t="shared" ref="A4:A67" si="0">103-ROW()</f>
        <v>99</v>
      </c>
      <c r="B4" s="1419">
        <v>70.41</v>
      </c>
      <c r="C4" s="1420">
        <v>70.36</v>
      </c>
      <c r="D4" s="1376">
        <v>70.36</v>
      </c>
      <c r="E4" s="1420">
        <v>70.36</v>
      </c>
      <c r="F4" s="1376"/>
      <c r="G4" s="1420">
        <v>71.680000000000007</v>
      </c>
      <c r="H4" s="1376">
        <v>51.497141662018954</v>
      </c>
      <c r="I4" s="1420">
        <v>70.36</v>
      </c>
      <c r="J4" s="1376">
        <v>70.73</v>
      </c>
      <c r="K4" s="1420">
        <v>70.409090909090907</v>
      </c>
      <c r="L4" s="1419">
        <v>70.36</v>
      </c>
      <c r="M4" s="129">
        <f t="shared" ref="M4:M67" si="1">103-ROW()</f>
        <v>99</v>
      </c>
      <c r="N4" s="1421">
        <v>70.41</v>
      </c>
      <c r="O4" s="1422">
        <v>75</v>
      </c>
      <c r="P4" s="1376">
        <v>70.36</v>
      </c>
      <c r="Q4" s="1420">
        <v>70.36</v>
      </c>
      <c r="R4" s="1381"/>
      <c r="S4" s="1420">
        <v>71.680000000000007</v>
      </c>
      <c r="T4" s="1381">
        <v>75</v>
      </c>
      <c r="U4" s="1423">
        <v>75</v>
      </c>
      <c r="V4" s="511"/>
      <c r="W4" s="117"/>
    </row>
    <row r="5" spans="1:23" s="116" customFormat="1">
      <c r="A5" s="129">
        <f t="shared" si="0"/>
        <v>98</v>
      </c>
      <c r="B5" s="1419">
        <v>69.06</v>
      </c>
      <c r="C5" s="1420">
        <v>68.819999999999993</v>
      </c>
      <c r="D5" s="1376">
        <v>68.83</v>
      </c>
      <c r="E5" s="1420">
        <v>68.83</v>
      </c>
      <c r="F5" s="1376"/>
      <c r="G5" s="1420">
        <v>71.349999999999994</v>
      </c>
      <c r="H5" s="1376">
        <v>50.3771611823759</v>
      </c>
      <c r="I5" s="1420">
        <v>68.819999999999993</v>
      </c>
      <c r="J5" s="1376">
        <v>69.010000000000005</v>
      </c>
      <c r="K5" s="1420">
        <v>68.918181818181822</v>
      </c>
      <c r="L5" s="1419">
        <v>68.83</v>
      </c>
      <c r="M5" s="129">
        <f t="shared" si="1"/>
        <v>98</v>
      </c>
      <c r="N5" s="1421">
        <v>69.06</v>
      </c>
      <c r="O5" s="1422">
        <v>73.83</v>
      </c>
      <c r="P5" s="1376">
        <v>68.83</v>
      </c>
      <c r="Q5" s="1420">
        <v>68.83</v>
      </c>
      <c r="R5" s="1381"/>
      <c r="S5" s="1420">
        <v>71.349999999999994</v>
      </c>
      <c r="T5" s="1381">
        <v>73.83</v>
      </c>
      <c r="U5" s="1423">
        <v>73.83</v>
      </c>
      <c r="V5" s="511"/>
      <c r="W5" s="117"/>
    </row>
    <row r="6" spans="1:23" s="116" customFormat="1">
      <c r="A6" s="129">
        <f t="shared" si="0"/>
        <v>97</v>
      </c>
      <c r="B6" s="1419">
        <v>68.06</v>
      </c>
      <c r="C6" s="1420">
        <v>67.92</v>
      </c>
      <c r="D6" s="1376">
        <v>67.930000000000007</v>
      </c>
      <c r="E6" s="1420">
        <v>67.930000000000007</v>
      </c>
      <c r="F6" s="1376"/>
      <c r="G6" s="1420">
        <v>71.03</v>
      </c>
      <c r="H6" s="1376">
        <v>49.716352735385087</v>
      </c>
      <c r="I6" s="1420">
        <v>67.92</v>
      </c>
      <c r="J6" s="1376">
        <v>68.02</v>
      </c>
      <c r="K6" s="1420">
        <v>68.018181818181816</v>
      </c>
      <c r="L6" s="1419">
        <v>67.930000000000007</v>
      </c>
      <c r="M6" s="129">
        <f t="shared" si="1"/>
        <v>97</v>
      </c>
      <c r="N6" s="1421">
        <v>68.06</v>
      </c>
      <c r="O6" s="1422">
        <v>73</v>
      </c>
      <c r="P6" s="1376">
        <v>67.930000000000007</v>
      </c>
      <c r="Q6" s="1420">
        <v>67.930000000000007</v>
      </c>
      <c r="R6" s="1381"/>
      <c r="S6" s="1420">
        <v>71.03</v>
      </c>
      <c r="T6" s="1381">
        <v>73</v>
      </c>
      <c r="U6" s="1423">
        <v>73</v>
      </c>
      <c r="V6" s="511"/>
      <c r="W6" s="117"/>
    </row>
    <row r="7" spans="1:23" s="116" customFormat="1">
      <c r="A7" s="129">
        <f t="shared" si="0"/>
        <v>96</v>
      </c>
      <c r="B7" s="1419">
        <v>67.36</v>
      </c>
      <c r="C7" s="1420">
        <v>67.36</v>
      </c>
      <c r="D7" s="1376">
        <v>67.36</v>
      </c>
      <c r="E7" s="1420">
        <v>67.36</v>
      </c>
      <c r="F7" s="1376"/>
      <c r="G7" s="1420">
        <v>70.7</v>
      </c>
      <c r="H7" s="1376">
        <v>49.308820916411044</v>
      </c>
      <c r="I7" s="1420">
        <v>67.36</v>
      </c>
      <c r="J7" s="1376">
        <v>67.36</v>
      </c>
      <c r="K7" s="1420">
        <v>67.360606060606059</v>
      </c>
      <c r="L7" s="1419">
        <v>67.36</v>
      </c>
      <c r="M7" s="129">
        <f t="shared" si="1"/>
        <v>96</v>
      </c>
      <c r="N7" s="1421">
        <v>67.36</v>
      </c>
      <c r="O7" s="1422">
        <v>71.91</v>
      </c>
      <c r="P7" s="1376">
        <v>67.36</v>
      </c>
      <c r="Q7" s="1420">
        <v>67.36</v>
      </c>
      <c r="R7" s="1381"/>
      <c r="S7" s="1420">
        <v>70.7</v>
      </c>
      <c r="T7" s="1381">
        <v>71.92</v>
      </c>
      <c r="U7" s="1423">
        <v>71.92</v>
      </c>
      <c r="V7" s="511"/>
      <c r="W7" s="117"/>
    </row>
    <row r="8" spans="1:23" s="116" customFormat="1">
      <c r="A8" s="129">
        <f t="shared" si="0"/>
        <v>95</v>
      </c>
      <c r="B8" s="1419">
        <v>66.77</v>
      </c>
      <c r="C8" s="1420">
        <v>66.77</v>
      </c>
      <c r="D8" s="1376">
        <v>66.77</v>
      </c>
      <c r="E8" s="1420">
        <v>66.77</v>
      </c>
      <c r="F8" s="1376"/>
      <c r="G8" s="1420">
        <v>70.38</v>
      </c>
      <c r="H8" s="1376">
        <v>48.877398850390399</v>
      </c>
      <c r="I8" s="1420">
        <v>66.77</v>
      </c>
      <c r="J8" s="1376">
        <v>66.77</v>
      </c>
      <c r="K8" s="1420">
        <v>66.771212121212116</v>
      </c>
      <c r="L8" s="1419">
        <v>66.77</v>
      </c>
      <c r="M8" s="129">
        <f t="shared" si="1"/>
        <v>95</v>
      </c>
      <c r="N8" s="1421">
        <v>66.77</v>
      </c>
      <c r="O8" s="1422">
        <v>70.72</v>
      </c>
      <c r="P8" s="1376">
        <v>66.77</v>
      </c>
      <c r="Q8" s="1420">
        <v>66.77</v>
      </c>
      <c r="R8" s="1381"/>
      <c r="S8" s="1420">
        <v>70.38</v>
      </c>
      <c r="T8" s="1381">
        <v>70.73</v>
      </c>
      <c r="U8" s="1423">
        <v>70.73</v>
      </c>
      <c r="V8" s="511"/>
      <c r="W8" s="117"/>
    </row>
    <row r="9" spans="1:23" s="116" customFormat="1">
      <c r="A9" s="129">
        <f t="shared" si="0"/>
        <v>94</v>
      </c>
      <c r="B9" s="1419">
        <v>66.11</v>
      </c>
      <c r="C9" s="1420">
        <v>66.099999999999994</v>
      </c>
      <c r="D9" s="1376">
        <v>66.11</v>
      </c>
      <c r="E9" s="1420">
        <v>66.11</v>
      </c>
      <c r="F9" s="1376"/>
      <c r="G9" s="1420">
        <v>70.06</v>
      </c>
      <c r="H9" s="1376">
        <v>48.390077577732853</v>
      </c>
      <c r="I9" s="1420">
        <v>66.099999999999994</v>
      </c>
      <c r="J9" s="1376">
        <v>66.11</v>
      </c>
      <c r="K9" s="1420">
        <v>66.106060606060609</v>
      </c>
      <c r="L9" s="1419">
        <v>66.11</v>
      </c>
      <c r="M9" s="129">
        <f t="shared" si="1"/>
        <v>94</v>
      </c>
      <c r="N9" s="1421">
        <v>66.11</v>
      </c>
      <c r="O9" s="1422">
        <v>69.099999999999994</v>
      </c>
      <c r="P9" s="1376">
        <v>66.11</v>
      </c>
      <c r="Q9" s="1420">
        <v>66.11</v>
      </c>
      <c r="R9" s="1381"/>
      <c r="S9" s="1420">
        <v>70.06</v>
      </c>
      <c r="T9" s="1381">
        <v>69.099999999999994</v>
      </c>
      <c r="U9" s="1423">
        <v>69.099999999999994</v>
      </c>
      <c r="V9" s="511"/>
      <c r="W9" s="117"/>
    </row>
    <row r="10" spans="1:23" s="116" customFormat="1">
      <c r="A10" s="129">
        <f t="shared" si="0"/>
        <v>93</v>
      </c>
      <c r="B10" s="1419">
        <v>65.63</v>
      </c>
      <c r="C10" s="1420">
        <v>65.62</v>
      </c>
      <c r="D10" s="1376">
        <v>65.63</v>
      </c>
      <c r="E10" s="1420">
        <v>65.63</v>
      </c>
      <c r="F10" s="1376"/>
      <c r="G10" s="1420">
        <v>69.73</v>
      </c>
      <c r="H10" s="1376">
        <v>48.046031286600673</v>
      </c>
      <c r="I10" s="1420">
        <v>65.62</v>
      </c>
      <c r="J10" s="1376">
        <v>65.63</v>
      </c>
      <c r="K10" s="1420">
        <v>65.628787878787875</v>
      </c>
      <c r="L10" s="1419">
        <v>65.63</v>
      </c>
      <c r="M10" s="129">
        <f t="shared" si="1"/>
        <v>93</v>
      </c>
      <c r="N10" s="1421">
        <v>65.63</v>
      </c>
      <c r="O10" s="1422">
        <v>67.25</v>
      </c>
      <c r="P10" s="1376">
        <v>65.63</v>
      </c>
      <c r="Q10" s="1420">
        <v>65.63</v>
      </c>
      <c r="R10" s="1381"/>
      <c r="S10" s="1420">
        <v>69.73</v>
      </c>
      <c r="T10" s="1381">
        <v>67.25</v>
      </c>
      <c r="U10" s="1423">
        <v>67.25</v>
      </c>
      <c r="V10" s="511"/>
      <c r="W10" s="117"/>
    </row>
    <row r="11" spans="1:23" s="116" customFormat="1">
      <c r="A11" s="129">
        <f t="shared" si="0"/>
        <v>92</v>
      </c>
      <c r="B11" s="1419">
        <v>65.239999999999995</v>
      </c>
      <c r="C11" s="1420">
        <v>65.239999999999995</v>
      </c>
      <c r="D11" s="1376">
        <v>65.239999999999995</v>
      </c>
      <c r="E11" s="1420">
        <v>65.239999999999995</v>
      </c>
      <c r="F11" s="1376"/>
      <c r="G11" s="1420">
        <v>69.41</v>
      </c>
      <c r="H11" s="1376">
        <v>47.769197132250419</v>
      </c>
      <c r="I11" s="1420">
        <v>65.239999999999995</v>
      </c>
      <c r="J11" s="1376">
        <v>65.239999999999995</v>
      </c>
      <c r="K11" s="1420">
        <v>65.242424242424235</v>
      </c>
      <c r="L11" s="1419">
        <v>65.239999999999995</v>
      </c>
      <c r="M11" s="129">
        <f t="shared" si="1"/>
        <v>92</v>
      </c>
      <c r="N11" s="1421">
        <v>65.239999999999995</v>
      </c>
      <c r="O11" s="1422">
        <v>66.2</v>
      </c>
      <c r="P11" s="1376">
        <v>65.239999999999995</v>
      </c>
      <c r="Q11" s="1420">
        <v>65.239999999999995</v>
      </c>
      <c r="R11" s="1381"/>
      <c r="S11" s="1420">
        <v>69.41</v>
      </c>
      <c r="T11" s="1381">
        <v>66.209999999999994</v>
      </c>
      <c r="U11" s="1423">
        <v>66.209999999999994</v>
      </c>
      <c r="V11" s="511"/>
      <c r="W11" s="117"/>
    </row>
    <row r="12" spans="1:23" s="7" customFormat="1" ht="14.25" thickBot="1">
      <c r="A12" s="130">
        <f t="shared" si="0"/>
        <v>91</v>
      </c>
      <c r="B12" s="1424">
        <v>64.61</v>
      </c>
      <c r="C12" s="1425">
        <v>64.61</v>
      </c>
      <c r="D12" s="1377">
        <v>64.61</v>
      </c>
      <c r="E12" s="1425">
        <v>64.61</v>
      </c>
      <c r="F12" s="1377"/>
      <c r="G12" s="1425">
        <v>69.08</v>
      </c>
      <c r="H12" s="1377">
        <v>47.314683367261573</v>
      </c>
      <c r="I12" s="1425">
        <v>64.61</v>
      </c>
      <c r="J12" s="1377">
        <v>64.61</v>
      </c>
      <c r="K12" s="1425">
        <v>64.61363636363636</v>
      </c>
      <c r="L12" s="1424">
        <v>64.61</v>
      </c>
      <c r="M12" s="130">
        <f t="shared" si="1"/>
        <v>91</v>
      </c>
      <c r="N12" s="1426">
        <v>64.61</v>
      </c>
      <c r="O12" s="1427">
        <v>65.180000000000007</v>
      </c>
      <c r="P12" s="1377">
        <v>64.61</v>
      </c>
      <c r="Q12" s="1425">
        <v>64.61</v>
      </c>
      <c r="R12" s="1382"/>
      <c r="S12" s="1425">
        <v>69.08</v>
      </c>
      <c r="T12" s="1382">
        <v>65.180000000000007</v>
      </c>
      <c r="U12" s="1428">
        <v>65.180000000000007</v>
      </c>
      <c r="V12" s="512"/>
      <c r="W12" s="55"/>
    </row>
    <row r="13" spans="1:23" s="17" customFormat="1">
      <c r="A13" s="131">
        <f t="shared" si="0"/>
        <v>90</v>
      </c>
      <c r="B13" s="1429">
        <v>64.13</v>
      </c>
      <c r="C13" s="1430">
        <v>64.12</v>
      </c>
      <c r="D13" s="1378">
        <v>64.13</v>
      </c>
      <c r="E13" s="1430">
        <v>64.13</v>
      </c>
      <c r="F13" s="1378"/>
      <c r="G13" s="1430">
        <v>68.760000000000005</v>
      </c>
      <c r="H13" s="1378">
        <v>46.95932413866425</v>
      </c>
      <c r="I13" s="1430">
        <v>64.12</v>
      </c>
      <c r="J13" s="1378">
        <v>64.13</v>
      </c>
      <c r="K13" s="1430">
        <v>64.128787878787875</v>
      </c>
      <c r="L13" s="1429">
        <v>64.13</v>
      </c>
      <c r="M13" s="131">
        <f t="shared" si="1"/>
        <v>90</v>
      </c>
      <c r="N13" s="1431">
        <v>64.13</v>
      </c>
      <c r="O13" s="1432">
        <v>63.95</v>
      </c>
      <c r="P13" s="1378">
        <v>64.13</v>
      </c>
      <c r="Q13" s="1430">
        <v>64.13</v>
      </c>
      <c r="R13" s="1383"/>
      <c r="S13" s="1430">
        <v>68.760000000000005</v>
      </c>
      <c r="T13" s="1383">
        <v>63.95</v>
      </c>
      <c r="U13" s="1433">
        <v>63.95</v>
      </c>
      <c r="V13" s="513"/>
      <c r="W13" s="56"/>
    </row>
    <row r="14" spans="1:23" s="116" customFormat="1">
      <c r="A14" s="129">
        <f t="shared" si="0"/>
        <v>89</v>
      </c>
      <c r="B14" s="1419">
        <v>63.74</v>
      </c>
      <c r="C14" s="1420">
        <v>63.74</v>
      </c>
      <c r="D14" s="1376">
        <v>63.74</v>
      </c>
      <c r="E14" s="1420">
        <v>63.74</v>
      </c>
      <c r="F14" s="1376"/>
      <c r="G14" s="1420">
        <v>68.44</v>
      </c>
      <c r="H14" s="1376">
        <v>46.675835316508646</v>
      </c>
      <c r="I14" s="1420">
        <v>63.74</v>
      </c>
      <c r="J14" s="1376">
        <v>63.74</v>
      </c>
      <c r="K14" s="1420">
        <v>63.742424242424242</v>
      </c>
      <c r="L14" s="1419">
        <v>63.74</v>
      </c>
      <c r="M14" s="129">
        <f t="shared" si="1"/>
        <v>89</v>
      </c>
      <c r="N14" s="1421">
        <v>63.74</v>
      </c>
      <c r="O14" s="1422">
        <v>63</v>
      </c>
      <c r="P14" s="1376">
        <v>63.74</v>
      </c>
      <c r="Q14" s="1420">
        <v>63.74</v>
      </c>
      <c r="R14" s="1381"/>
      <c r="S14" s="1420">
        <v>68.44</v>
      </c>
      <c r="T14" s="1381">
        <v>63.01</v>
      </c>
      <c r="U14" s="1423">
        <v>63.01</v>
      </c>
      <c r="V14" s="511"/>
      <c r="W14" s="117"/>
    </row>
    <row r="15" spans="1:23" s="116" customFormat="1">
      <c r="A15" s="129">
        <f t="shared" si="0"/>
        <v>88</v>
      </c>
      <c r="B15" s="1419">
        <v>63.33</v>
      </c>
      <c r="C15" s="1420">
        <v>63.32</v>
      </c>
      <c r="D15" s="1376">
        <v>63.33</v>
      </c>
      <c r="E15" s="1420">
        <v>63.33</v>
      </c>
      <c r="F15" s="1376"/>
      <c r="G15" s="1420">
        <v>68.11</v>
      </c>
      <c r="H15" s="1376">
        <v>46.37105156616007</v>
      </c>
      <c r="I15" s="1420">
        <v>63.32</v>
      </c>
      <c r="J15" s="1376">
        <v>63.33</v>
      </c>
      <c r="K15" s="1420">
        <v>63.325757575757578</v>
      </c>
      <c r="L15" s="1419">
        <v>63.33</v>
      </c>
      <c r="M15" s="129">
        <f t="shared" si="1"/>
        <v>88</v>
      </c>
      <c r="N15" s="1421">
        <v>63.33</v>
      </c>
      <c r="O15" s="1422">
        <v>62.33</v>
      </c>
      <c r="P15" s="1376">
        <v>63.33</v>
      </c>
      <c r="Q15" s="1420">
        <v>63.33</v>
      </c>
      <c r="R15" s="1381"/>
      <c r="S15" s="1420">
        <v>68.11</v>
      </c>
      <c r="T15" s="1381">
        <v>62.34</v>
      </c>
      <c r="U15" s="1423">
        <v>62.34</v>
      </c>
      <c r="V15" s="511"/>
      <c r="W15" s="117"/>
    </row>
    <row r="16" spans="1:23" s="116" customFormat="1">
      <c r="A16" s="129">
        <f t="shared" si="0"/>
        <v>87</v>
      </c>
      <c r="B16" s="1419">
        <v>62.98</v>
      </c>
      <c r="C16" s="1420">
        <v>62.97</v>
      </c>
      <c r="D16" s="1376">
        <v>62.98</v>
      </c>
      <c r="E16" s="1420">
        <v>62.98</v>
      </c>
      <c r="F16" s="1376"/>
      <c r="G16" s="1420">
        <v>67.790000000000006</v>
      </c>
      <c r="H16" s="1376">
        <v>46.116177813371444</v>
      </c>
      <c r="I16" s="1420">
        <v>62.97</v>
      </c>
      <c r="J16" s="1376">
        <v>62.98</v>
      </c>
      <c r="K16" s="1420">
        <v>62.977272727272727</v>
      </c>
      <c r="L16" s="1419">
        <v>62.98</v>
      </c>
      <c r="M16" s="129">
        <f t="shared" si="1"/>
        <v>87</v>
      </c>
      <c r="N16" s="1421">
        <v>62.98</v>
      </c>
      <c r="O16" s="1422">
        <v>61.7</v>
      </c>
      <c r="P16" s="1376">
        <v>62.98</v>
      </c>
      <c r="Q16" s="1420">
        <v>62.98</v>
      </c>
      <c r="R16" s="1381"/>
      <c r="S16" s="1420">
        <v>67.790000000000006</v>
      </c>
      <c r="T16" s="1381">
        <v>61.71</v>
      </c>
      <c r="U16" s="1423">
        <v>61.71</v>
      </c>
      <c r="V16" s="511"/>
      <c r="W16" s="117"/>
    </row>
    <row r="17" spans="1:23" s="116" customFormat="1">
      <c r="A17" s="129">
        <f t="shared" si="0"/>
        <v>86</v>
      </c>
      <c r="B17" s="1419">
        <v>62.55</v>
      </c>
      <c r="C17" s="1420">
        <v>62.54</v>
      </c>
      <c r="D17" s="1376">
        <v>62.55</v>
      </c>
      <c r="E17" s="1420">
        <v>62.55</v>
      </c>
      <c r="F17" s="1376"/>
      <c r="G17" s="1420">
        <v>67.459999999999994</v>
      </c>
      <c r="H17" s="1376">
        <v>45.806070327314558</v>
      </c>
      <c r="I17" s="1420">
        <v>62.54</v>
      </c>
      <c r="J17" s="1376">
        <v>62.55</v>
      </c>
      <c r="K17" s="1420">
        <v>62.545454545454547</v>
      </c>
      <c r="L17" s="1419">
        <v>62.55</v>
      </c>
      <c r="M17" s="129">
        <f t="shared" si="1"/>
        <v>86</v>
      </c>
      <c r="N17" s="1421">
        <v>62.55</v>
      </c>
      <c r="O17" s="1422">
        <v>61.25</v>
      </c>
      <c r="P17" s="1376">
        <v>62.55</v>
      </c>
      <c r="Q17" s="1420">
        <v>62.55</v>
      </c>
      <c r="R17" s="1381"/>
      <c r="S17" s="1420">
        <v>67.459999999999994</v>
      </c>
      <c r="T17" s="1381">
        <v>61.25</v>
      </c>
      <c r="U17" s="1423">
        <v>61.25</v>
      </c>
      <c r="V17" s="511"/>
      <c r="W17" s="117"/>
    </row>
    <row r="18" spans="1:23" s="116" customFormat="1">
      <c r="A18" s="129">
        <f t="shared" si="0"/>
        <v>85</v>
      </c>
      <c r="B18" s="1419">
        <v>62.17</v>
      </c>
      <c r="C18" s="1420">
        <v>62.17</v>
      </c>
      <c r="D18" s="1376">
        <v>62.17</v>
      </c>
      <c r="E18" s="1420">
        <v>62.17</v>
      </c>
      <c r="F18" s="1376"/>
      <c r="G18" s="1420">
        <v>67.14</v>
      </c>
      <c r="H18" s="1376">
        <v>45.53322896925544</v>
      </c>
      <c r="I18" s="1420">
        <v>62.17</v>
      </c>
      <c r="J18" s="1376">
        <v>62.17</v>
      </c>
      <c r="K18" s="1420">
        <v>62.174242424242422</v>
      </c>
      <c r="L18" s="1419">
        <v>62.17</v>
      </c>
      <c r="M18" s="129">
        <f t="shared" si="1"/>
        <v>85</v>
      </c>
      <c r="N18" s="1421">
        <v>62.17</v>
      </c>
      <c r="O18" s="1422">
        <v>60.7</v>
      </c>
      <c r="P18" s="1376">
        <v>62.17</v>
      </c>
      <c r="Q18" s="1420">
        <v>62.17</v>
      </c>
      <c r="R18" s="1381"/>
      <c r="S18" s="1420">
        <v>67.14</v>
      </c>
      <c r="T18" s="1381">
        <v>60.71</v>
      </c>
      <c r="U18" s="1423">
        <v>60.71</v>
      </c>
      <c r="V18" s="511"/>
      <c r="W18" s="117"/>
    </row>
    <row r="19" spans="1:23" s="116" customFormat="1">
      <c r="A19" s="129">
        <f t="shared" si="0"/>
        <v>84</v>
      </c>
      <c r="B19" s="1419">
        <v>61.74</v>
      </c>
      <c r="C19" s="1420">
        <v>61.74</v>
      </c>
      <c r="D19" s="1376">
        <v>61.74</v>
      </c>
      <c r="E19" s="1420">
        <v>61.74</v>
      </c>
      <c r="F19" s="1376"/>
      <c r="G19" s="1420">
        <v>66.819999999999993</v>
      </c>
      <c r="H19" s="1376">
        <v>45.217797747490238</v>
      </c>
      <c r="I19" s="1420">
        <v>61.74</v>
      </c>
      <c r="J19" s="1376">
        <v>61.74</v>
      </c>
      <c r="K19" s="1420">
        <v>61.742424242424242</v>
      </c>
      <c r="L19" s="1419">
        <v>61.74</v>
      </c>
      <c r="M19" s="129">
        <f t="shared" si="1"/>
        <v>84</v>
      </c>
      <c r="N19" s="1421">
        <v>61.74</v>
      </c>
      <c r="O19" s="1422">
        <v>60.22</v>
      </c>
      <c r="P19" s="1376">
        <v>61.74</v>
      </c>
      <c r="Q19" s="1420">
        <v>61.74</v>
      </c>
      <c r="R19" s="1381"/>
      <c r="S19" s="1420">
        <v>66.819999999999993</v>
      </c>
      <c r="T19" s="1381">
        <v>60.23</v>
      </c>
      <c r="U19" s="1423">
        <v>60.23</v>
      </c>
      <c r="V19" s="511"/>
      <c r="W19" s="117"/>
    </row>
    <row r="20" spans="1:23" s="116" customFormat="1">
      <c r="A20" s="129">
        <f t="shared" si="0"/>
        <v>83</v>
      </c>
      <c r="B20" s="1419">
        <v>61.34</v>
      </c>
      <c r="C20" s="1420">
        <v>61.34</v>
      </c>
      <c r="D20" s="1376">
        <v>61.34</v>
      </c>
      <c r="E20" s="1420">
        <v>61.34</v>
      </c>
      <c r="F20" s="1376"/>
      <c r="G20" s="1420">
        <v>66.489999999999995</v>
      </c>
      <c r="H20" s="1376">
        <v>44.923661461238147</v>
      </c>
      <c r="I20" s="1420">
        <v>61.34</v>
      </c>
      <c r="J20" s="1376">
        <v>61.34</v>
      </c>
      <c r="K20" s="1420">
        <v>61.340909090909093</v>
      </c>
      <c r="L20" s="1419">
        <v>61.34</v>
      </c>
      <c r="M20" s="129">
        <f t="shared" si="1"/>
        <v>83</v>
      </c>
      <c r="N20" s="1421">
        <v>61.34</v>
      </c>
      <c r="O20" s="1422">
        <v>59.81</v>
      </c>
      <c r="P20" s="1376">
        <v>61.34</v>
      </c>
      <c r="Q20" s="1420">
        <v>61.34</v>
      </c>
      <c r="R20" s="1381"/>
      <c r="S20" s="1420">
        <v>66.489999999999995</v>
      </c>
      <c r="T20" s="1381">
        <v>59.81</v>
      </c>
      <c r="U20" s="1423">
        <v>59.81</v>
      </c>
      <c r="V20" s="511"/>
      <c r="W20" s="117"/>
    </row>
    <row r="21" spans="1:23" s="116" customFormat="1">
      <c r="A21" s="129">
        <f t="shared" si="0"/>
        <v>82</v>
      </c>
      <c r="B21" s="1419">
        <v>60.94</v>
      </c>
      <c r="C21" s="1420">
        <v>60.93</v>
      </c>
      <c r="D21" s="1376">
        <v>60.94</v>
      </c>
      <c r="E21" s="1420">
        <v>60.94</v>
      </c>
      <c r="F21" s="1376"/>
      <c r="G21" s="1420">
        <v>66.17</v>
      </c>
      <c r="H21" s="1376">
        <v>44.628859708937533</v>
      </c>
      <c r="I21" s="1420">
        <v>60.93</v>
      </c>
      <c r="J21" s="1376">
        <v>60.94</v>
      </c>
      <c r="K21" s="1420">
        <v>60.939393939393945</v>
      </c>
      <c r="L21" s="1419">
        <v>60.94</v>
      </c>
      <c r="M21" s="129">
        <f t="shared" si="1"/>
        <v>82</v>
      </c>
      <c r="N21" s="1421">
        <v>60.94</v>
      </c>
      <c r="O21" s="1422">
        <v>59.38</v>
      </c>
      <c r="P21" s="1376">
        <v>60.94</v>
      </c>
      <c r="Q21" s="1420">
        <v>60.94</v>
      </c>
      <c r="R21" s="1381"/>
      <c r="S21" s="1420">
        <v>66.17</v>
      </c>
      <c r="T21" s="1381">
        <v>59.39</v>
      </c>
      <c r="U21" s="1423">
        <v>59.39</v>
      </c>
      <c r="V21" s="511"/>
      <c r="W21" s="117"/>
    </row>
    <row r="22" spans="1:23" s="14" customFormat="1" ht="14.25" thickBot="1">
      <c r="A22" s="132">
        <f t="shared" si="0"/>
        <v>81</v>
      </c>
      <c r="B22" s="1434">
        <v>60.51</v>
      </c>
      <c r="C22" s="1435">
        <v>60.51</v>
      </c>
      <c r="D22" s="1379">
        <v>60.52</v>
      </c>
      <c r="E22" s="1435">
        <v>60.52</v>
      </c>
      <c r="F22" s="1379"/>
      <c r="G22" s="1435">
        <v>65.84</v>
      </c>
      <c r="H22" s="1379">
        <v>44.319417681609032</v>
      </c>
      <c r="I22" s="1435">
        <v>60.51</v>
      </c>
      <c r="J22" s="1379">
        <v>60.51</v>
      </c>
      <c r="K22" s="1435">
        <v>60.515151515151508</v>
      </c>
      <c r="L22" s="1434">
        <v>60.52</v>
      </c>
      <c r="M22" s="132">
        <f t="shared" si="1"/>
        <v>81</v>
      </c>
      <c r="N22" s="1436">
        <v>60.51</v>
      </c>
      <c r="O22" s="1437">
        <v>59.04</v>
      </c>
      <c r="P22" s="1379">
        <v>60.52</v>
      </c>
      <c r="Q22" s="1435">
        <v>60.52</v>
      </c>
      <c r="R22" s="1384"/>
      <c r="S22" s="1435">
        <v>65.84</v>
      </c>
      <c r="T22" s="1384">
        <v>59.05</v>
      </c>
      <c r="U22" s="1438">
        <v>59.05</v>
      </c>
      <c r="V22" s="514"/>
      <c r="W22" s="53"/>
    </row>
    <row r="23" spans="1:23" s="18" customFormat="1">
      <c r="A23" s="128">
        <f t="shared" si="0"/>
        <v>80</v>
      </c>
      <c r="B23" s="1414">
        <v>60.1</v>
      </c>
      <c r="C23" s="1415">
        <v>60.09</v>
      </c>
      <c r="D23" s="1375">
        <v>60.1</v>
      </c>
      <c r="E23" s="1415">
        <v>60.1</v>
      </c>
      <c r="F23" s="1375"/>
      <c r="G23" s="1415">
        <v>65.52</v>
      </c>
      <c r="H23" s="1375">
        <v>44.014633931260462</v>
      </c>
      <c r="I23" s="1415">
        <v>60.09</v>
      </c>
      <c r="J23" s="1375">
        <v>60.1</v>
      </c>
      <c r="K23" s="1415">
        <v>60.098484848484851</v>
      </c>
      <c r="L23" s="1414">
        <v>60.1</v>
      </c>
      <c r="M23" s="128">
        <f t="shared" si="1"/>
        <v>80</v>
      </c>
      <c r="N23" s="1416">
        <v>60.1</v>
      </c>
      <c r="O23" s="1417">
        <v>58.72</v>
      </c>
      <c r="P23" s="1375">
        <v>60.1</v>
      </c>
      <c r="Q23" s="1415">
        <v>60.1</v>
      </c>
      <c r="R23" s="1380"/>
      <c r="S23" s="1415">
        <v>65.52</v>
      </c>
      <c r="T23" s="1380">
        <v>58.73</v>
      </c>
      <c r="U23" s="1418">
        <v>58.73</v>
      </c>
      <c r="V23" s="510"/>
      <c r="W23" s="54"/>
    </row>
    <row r="24" spans="1:23" s="116" customFormat="1">
      <c r="A24" s="129">
        <f t="shared" si="0"/>
        <v>79</v>
      </c>
      <c r="B24" s="1419">
        <v>59.65</v>
      </c>
      <c r="C24" s="1420">
        <v>59.65</v>
      </c>
      <c r="D24" s="1376">
        <v>59.65</v>
      </c>
      <c r="E24" s="1420">
        <v>59.65</v>
      </c>
      <c r="F24" s="1376"/>
      <c r="G24" s="1420">
        <v>65.2</v>
      </c>
      <c r="H24" s="1376">
        <v>43.685893373884547</v>
      </c>
      <c r="I24" s="1420">
        <v>59.65</v>
      </c>
      <c r="J24" s="1376">
        <v>59.65</v>
      </c>
      <c r="K24" s="1420">
        <v>59.651515151515149</v>
      </c>
      <c r="L24" s="1419">
        <v>59.65</v>
      </c>
      <c r="M24" s="129">
        <f t="shared" si="1"/>
        <v>79</v>
      </c>
      <c r="N24" s="1421">
        <v>59.65</v>
      </c>
      <c r="O24" s="1422">
        <v>58.21</v>
      </c>
      <c r="P24" s="1376">
        <v>59.65</v>
      </c>
      <c r="Q24" s="1420">
        <v>59.65</v>
      </c>
      <c r="R24" s="1381"/>
      <c r="S24" s="1420">
        <v>65.2</v>
      </c>
      <c r="T24" s="1381">
        <v>58.22</v>
      </c>
      <c r="U24" s="1423">
        <v>58.22</v>
      </c>
      <c r="V24" s="511"/>
      <c r="W24" s="117"/>
    </row>
    <row r="25" spans="1:23" s="116" customFormat="1">
      <c r="A25" s="129">
        <f t="shared" si="0"/>
        <v>78</v>
      </c>
      <c r="B25" s="1419">
        <v>59.22</v>
      </c>
      <c r="C25" s="1420">
        <v>59.21</v>
      </c>
      <c r="D25" s="1376">
        <v>59.22</v>
      </c>
      <c r="E25" s="1420">
        <v>59.22</v>
      </c>
      <c r="F25" s="1376"/>
      <c r="G25" s="1420">
        <v>64.87</v>
      </c>
      <c r="H25" s="1376">
        <v>43.370462152119352</v>
      </c>
      <c r="I25" s="1420">
        <v>59.21</v>
      </c>
      <c r="J25" s="1376">
        <v>59.22</v>
      </c>
      <c r="K25" s="1420">
        <v>59.219696969696969</v>
      </c>
      <c r="L25" s="1419">
        <v>59.22</v>
      </c>
      <c r="M25" s="129">
        <f t="shared" si="1"/>
        <v>78</v>
      </c>
      <c r="N25" s="1421">
        <v>59.22</v>
      </c>
      <c r="O25" s="1422">
        <v>57.83</v>
      </c>
      <c r="P25" s="1376">
        <v>59.22</v>
      </c>
      <c r="Q25" s="1420">
        <v>59.22</v>
      </c>
      <c r="R25" s="1381"/>
      <c r="S25" s="1420">
        <v>64.87</v>
      </c>
      <c r="T25" s="1381">
        <v>57.84</v>
      </c>
      <c r="U25" s="1423">
        <v>57.84</v>
      </c>
      <c r="V25" s="511"/>
      <c r="W25" s="117"/>
    </row>
    <row r="26" spans="1:23" s="116" customFormat="1">
      <c r="A26" s="129">
        <f t="shared" si="0"/>
        <v>77</v>
      </c>
      <c r="B26" s="1419">
        <v>58.87</v>
      </c>
      <c r="C26" s="1420">
        <v>58.87</v>
      </c>
      <c r="D26" s="1376">
        <v>58.87</v>
      </c>
      <c r="E26" s="1420">
        <v>58.87</v>
      </c>
      <c r="F26" s="1376"/>
      <c r="G26" s="1420">
        <v>64.55</v>
      </c>
      <c r="H26" s="1376">
        <v>43.115588399330733</v>
      </c>
      <c r="I26" s="1420">
        <v>58.87</v>
      </c>
      <c r="J26" s="1376">
        <v>58.87</v>
      </c>
      <c r="K26" s="1420">
        <v>58.871212121212125</v>
      </c>
      <c r="L26" s="1419">
        <v>58.87</v>
      </c>
      <c r="M26" s="129">
        <f t="shared" si="1"/>
        <v>77</v>
      </c>
      <c r="N26" s="1421">
        <v>58.87</v>
      </c>
      <c r="O26" s="1422">
        <v>57.48</v>
      </c>
      <c r="P26" s="1376">
        <v>58.87</v>
      </c>
      <c r="Q26" s="1420">
        <v>58.87</v>
      </c>
      <c r="R26" s="1381"/>
      <c r="S26" s="1420">
        <v>64.55</v>
      </c>
      <c r="T26" s="1381">
        <v>57.48</v>
      </c>
      <c r="U26" s="1423">
        <v>57.48</v>
      </c>
      <c r="V26" s="511"/>
      <c r="W26" s="117"/>
    </row>
    <row r="27" spans="1:23" s="116" customFormat="1">
      <c r="A27" s="129">
        <f t="shared" si="0"/>
        <v>76</v>
      </c>
      <c r="B27" s="1419">
        <v>58.52</v>
      </c>
      <c r="C27" s="1420">
        <v>58.52</v>
      </c>
      <c r="D27" s="1376">
        <v>58.52</v>
      </c>
      <c r="E27" s="1420">
        <v>58.52</v>
      </c>
      <c r="F27" s="1376"/>
      <c r="G27" s="1420">
        <v>64.22</v>
      </c>
      <c r="H27" s="1376">
        <v>42.859383714445059</v>
      </c>
      <c r="I27" s="1420">
        <v>58.52</v>
      </c>
      <c r="J27" s="1376">
        <v>58.52</v>
      </c>
      <c r="K27" s="1420">
        <v>58.522727272727273</v>
      </c>
      <c r="L27" s="1419">
        <v>58.52</v>
      </c>
      <c r="M27" s="129">
        <f t="shared" si="1"/>
        <v>76</v>
      </c>
      <c r="N27" s="1421">
        <v>58.52</v>
      </c>
      <c r="O27" s="1422">
        <v>57.14</v>
      </c>
      <c r="P27" s="1376">
        <v>58.52</v>
      </c>
      <c r="Q27" s="1420">
        <v>58.52</v>
      </c>
      <c r="R27" s="1381"/>
      <c r="S27" s="1420">
        <v>64.22</v>
      </c>
      <c r="T27" s="1381">
        <v>57.14</v>
      </c>
      <c r="U27" s="1423">
        <v>57.14</v>
      </c>
      <c r="V27" s="511"/>
      <c r="W27" s="117"/>
    </row>
    <row r="28" spans="1:23" s="116" customFormat="1">
      <c r="A28" s="129">
        <f t="shared" si="0"/>
        <v>75</v>
      </c>
      <c r="B28" s="1419">
        <v>58.17</v>
      </c>
      <c r="C28" s="1420">
        <v>58.17</v>
      </c>
      <c r="D28" s="1376">
        <v>58.17</v>
      </c>
      <c r="E28" s="1420">
        <v>58.17</v>
      </c>
      <c r="F28" s="1376"/>
      <c r="G28" s="1420">
        <v>63.9</v>
      </c>
      <c r="H28" s="1376">
        <v>42.605175427704964</v>
      </c>
      <c r="I28" s="1420">
        <v>58.17</v>
      </c>
      <c r="J28" s="1376">
        <v>58.17</v>
      </c>
      <c r="K28" s="1420">
        <v>58.174242424242422</v>
      </c>
      <c r="L28" s="1419">
        <v>58.17</v>
      </c>
      <c r="M28" s="129">
        <f t="shared" si="1"/>
        <v>75</v>
      </c>
      <c r="N28" s="1421">
        <v>58.17</v>
      </c>
      <c r="O28" s="1422">
        <v>56.59</v>
      </c>
      <c r="P28" s="1376">
        <v>58.17</v>
      </c>
      <c r="Q28" s="1420">
        <v>58.17</v>
      </c>
      <c r="R28" s="1381"/>
      <c r="S28" s="1420">
        <v>63.9</v>
      </c>
      <c r="T28" s="1381">
        <v>56.6</v>
      </c>
      <c r="U28" s="1423">
        <v>56.6</v>
      </c>
      <c r="V28" s="511"/>
      <c r="W28" s="117"/>
    </row>
    <row r="29" spans="1:23" s="116" customFormat="1">
      <c r="A29" s="129">
        <f t="shared" si="0"/>
        <v>74</v>
      </c>
      <c r="B29" s="1419">
        <v>57.84</v>
      </c>
      <c r="C29" s="1420">
        <v>57.84</v>
      </c>
      <c r="D29" s="1376">
        <v>57.84</v>
      </c>
      <c r="E29" s="1420">
        <v>57.84</v>
      </c>
      <c r="F29" s="1376"/>
      <c r="G29" s="1420">
        <v>63.58</v>
      </c>
      <c r="H29" s="1376">
        <v>42.356290876673171</v>
      </c>
      <c r="I29" s="1420">
        <v>57.84</v>
      </c>
      <c r="J29" s="1376">
        <v>57.84</v>
      </c>
      <c r="K29" s="1420">
        <v>57.840909090909093</v>
      </c>
      <c r="L29" s="1419">
        <v>57.84</v>
      </c>
      <c r="M29" s="129">
        <f t="shared" si="1"/>
        <v>74</v>
      </c>
      <c r="N29" s="1421">
        <v>57.84</v>
      </c>
      <c r="O29" s="1422">
        <v>56.16</v>
      </c>
      <c r="P29" s="1376">
        <v>57.84</v>
      </c>
      <c r="Q29" s="1420">
        <v>57.84</v>
      </c>
      <c r="R29" s="1381"/>
      <c r="S29" s="1420">
        <v>63.58</v>
      </c>
      <c r="T29" s="1381">
        <v>56.16</v>
      </c>
      <c r="U29" s="1423">
        <v>56.16</v>
      </c>
      <c r="V29" s="511"/>
      <c r="W29" s="117"/>
    </row>
    <row r="30" spans="1:23" s="116" customFormat="1">
      <c r="A30" s="129">
        <f t="shared" si="0"/>
        <v>73</v>
      </c>
      <c r="B30" s="1419">
        <v>57.39</v>
      </c>
      <c r="C30" s="1420">
        <v>57.38</v>
      </c>
      <c r="D30" s="1376">
        <v>57.39</v>
      </c>
      <c r="E30" s="1420">
        <v>57.39</v>
      </c>
      <c r="F30" s="1376"/>
      <c r="G30" s="1420">
        <v>63.25</v>
      </c>
      <c r="H30" s="1376">
        <v>42.016237387821327</v>
      </c>
      <c r="I30" s="1420">
        <v>57.38</v>
      </c>
      <c r="J30" s="1376">
        <v>57.39</v>
      </c>
      <c r="K30" s="1420">
        <v>57.386363636363633</v>
      </c>
      <c r="L30" s="1419">
        <v>57.39</v>
      </c>
      <c r="M30" s="129">
        <f t="shared" si="1"/>
        <v>73</v>
      </c>
      <c r="N30" s="1421">
        <v>57.39</v>
      </c>
      <c r="O30" s="1422">
        <v>55.69</v>
      </c>
      <c r="P30" s="1376">
        <v>57.39</v>
      </c>
      <c r="Q30" s="1420">
        <v>57.39</v>
      </c>
      <c r="R30" s="1381"/>
      <c r="S30" s="1420">
        <v>63.25</v>
      </c>
      <c r="T30" s="1381">
        <v>55.69</v>
      </c>
      <c r="U30" s="1423">
        <v>55.69</v>
      </c>
      <c r="V30" s="511"/>
      <c r="W30" s="117"/>
    </row>
    <row r="31" spans="1:23" s="116" customFormat="1">
      <c r="A31" s="129">
        <f t="shared" si="0"/>
        <v>72</v>
      </c>
      <c r="B31" s="1419">
        <v>56.97</v>
      </c>
      <c r="C31" s="1420">
        <v>56.96</v>
      </c>
      <c r="D31" s="1376">
        <v>56.97</v>
      </c>
      <c r="E31" s="1420">
        <v>56.97</v>
      </c>
      <c r="F31" s="1376"/>
      <c r="G31" s="1420">
        <v>62.93</v>
      </c>
      <c r="H31" s="1376">
        <v>41.710788166100492</v>
      </c>
      <c r="I31" s="1420">
        <v>56.96</v>
      </c>
      <c r="J31" s="1376">
        <v>56.97</v>
      </c>
      <c r="K31" s="1420">
        <v>56.969696969696969</v>
      </c>
      <c r="L31" s="1419">
        <v>56.97</v>
      </c>
      <c r="M31" s="129">
        <f t="shared" si="1"/>
        <v>72</v>
      </c>
      <c r="N31" s="1421">
        <v>56.97</v>
      </c>
      <c r="O31" s="1422">
        <v>55.22</v>
      </c>
      <c r="P31" s="1376">
        <v>56.97</v>
      </c>
      <c r="Q31" s="1420">
        <v>56.97</v>
      </c>
      <c r="R31" s="1381"/>
      <c r="S31" s="1420">
        <v>62.93</v>
      </c>
      <c r="T31" s="1381">
        <v>55.23</v>
      </c>
      <c r="U31" s="1423">
        <v>55.23</v>
      </c>
      <c r="V31" s="511"/>
      <c r="W31" s="117"/>
    </row>
    <row r="32" spans="1:23" s="7" customFormat="1" ht="14.25" thickBot="1">
      <c r="A32" s="130">
        <f t="shared" si="0"/>
        <v>71</v>
      </c>
      <c r="B32" s="1424">
        <v>56.62</v>
      </c>
      <c r="C32" s="1425">
        <v>56.62</v>
      </c>
      <c r="D32" s="1377">
        <v>56.62</v>
      </c>
      <c r="E32" s="1425">
        <v>56.62</v>
      </c>
      <c r="F32" s="1377"/>
      <c r="G32" s="1425">
        <v>62.6</v>
      </c>
      <c r="H32" s="1377">
        <v>41.455914414642798</v>
      </c>
      <c r="I32" s="1425">
        <v>56.62</v>
      </c>
      <c r="J32" s="1377">
        <v>56.62</v>
      </c>
      <c r="K32" s="1425">
        <v>56.621212121212125</v>
      </c>
      <c r="L32" s="1424">
        <v>56.62</v>
      </c>
      <c r="M32" s="130">
        <f t="shared" si="1"/>
        <v>71</v>
      </c>
      <c r="N32" s="1426">
        <v>56.62</v>
      </c>
      <c r="O32" s="1427">
        <v>54.83</v>
      </c>
      <c r="P32" s="1377">
        <v>56.62</v>
      </c>
      <c r="Q32" s="1425">
        <v>56.62</v>
      </c>
      <c r="R32" s="1382"/>
      <c r="S32" s="1425">
        <v>62.6</v>
      </c>
      <c r="T32" s="1382">
        <v>54.83</v>
      </c>
      <c r="U32" s="1428">
        <v>54.83</v>
      </c>
      <c r="V32" s="512"/>
      <c r="W32" s="55"/>
    </row>
    <row r="33" spans="1:23" s="17" customFormat="1">
      <c r="A33" s="131">
        <f t="shared" si="0"/>
        <v>70</v>
      </c>
      <c r="B33" s="1429">
        <v>56.25</v>
      </c>
      <c r="C33" s="1430">
        <v>56.25</v>
      </c>
      <c r="D33" s="1378">
        <v>56.25</v>
      </c>
      <c r="E33" s="1430">
        <v>56.25</v>
      </c>
      <c r="F33" s="1378"/>
      <c r="G33" s="1430">
        <v>62.28</v>
      </c>
      <c r="H33" s="1378">
        <v>41.184403995335401</v>
      </c>
      <c r="I33" s="1430">
        <v>56.25</v>
      </c>
      <c r="J33" s="1378">
        <v>56.25</v>
      </c>
      <c r="K33" s="1430">
        <v>56.25454545454545</v>
      </c>
      <c r="L33" s="1429">
        <v>56.25</v>
      </c>
      <c r="M33" s="131">
        <f t="shared" si="1"/>
        <v>70</v>
      </c>
      <c r="N33" s="1431">
        <v>56.25</v>
      </c>
      <c r="O33" s="1432">
        <v>54.45</v>
      </c>
      <c r="P33" s="1378">
        <v>56.25</v>
      </c>
      <c r="Q33" s="1430">
        <v>56.25</v>
      </c>
      <c r="R33" s="1383"/>
      <c r="S33" s="1430">
        <v>62.28</v>
      </c>
      <c r="T33" s="1383">
        <v>54.46</v>
      </c>
      <c r="U33" s="1433">
        <v>54.46</v>
      </c>
      <c r="V33" s="513"/>
      <c r="W33" s="56"/>
    </row>
    <row r="34" spans="1:23" s="116" customFormat="1">
      <c r="A34" s="129">
        <f t="shared" si="0"/>
        <v>69</v>
      </c>
      <c r="B34" s="1419">
        <v>55.85</v>
      </c>
      <c r="C34" s="1420">
        <v>55.85</v>
      </c>
      <c r="D34" s="1376">
        <v>55.85</v>
      </c>
      <c r="E34" s="1420">
        <v>55.85</v>
      </c>
      <c r="F34" s="1376"/>
      <c r="G34" s="1420">
        <v>61.96</v>
      </c>
      <c r="H34" s="1376">
        <v>40.884943974040468</v>
      </c>
      <c r="I34" s="1420">
        <v>55.85</v>
      </c>
      <c r="J34" s="1376">
        <v>55.85</v>
      </c>
      <c r="K34" s="1420">
        <v>55.85</v>
      </c>
      <c r="L34" s="1419">
        <v>55.85</v>
      </c>
      <c r="M34" s="129">
        <f t="shared" si="1"/>
        <v>69</v>
      </c>
      <c r="N34" s="1421">
        <v>55.85</v>
      </c>
      <c r="O34" s="1422">
        <v>54.08</v>
      </c>
      <c r="P34" s="1376">
        <v>55.85</v>
      </c>
      <c r="Q34" s="1420">
        <v>55.85</v>
      </c>
      <c r="R34" s="1381"/>
      <c r="S34" s="1420">
        <v>61.96</v>
      </c>
      <c r="T34" s="1381">
        <v>54.08</v>
      </c>
      <c r="U34" s="1423">
        <v>54.08</v>
      </c>
      <c r="V34" s="511"/>
      <c r="W34" s="117"/>
    </row>
    <row r="35" spans="1:23" s="116" customFormat="1">
      <c r="A35" s="129">
        <f t="shared" si="0"/>
        <v>68</v>
      </c>
      <c r="B35" s="1419">
        <v>55.35</v>
      </c>
      <c r="C35" s="1420">
        <v>55.35</v>
      </c>
      <c r="D35" s="1376">
        <v>55.35</v>
      </c>
      <c r="E35" s="1420">
        <v>55.35</v>
      </c>
      <c r="F35" s="1376"/>
      <c r="G35" s="1420">
        <v>61.63</v>
      </c>
      <c r="H35" s="1376">
        <v>40.518937281346659</v>
      </c>
      <c r="I35" s="1420">
        <v>55.35</v>
      </c>
      <c r="J35" s="1376">
        <v>55.35</v>
      </c>
      <c r="K35" s="1420">
        <v>55.354545454545452</v>
      </c>
      <c r="L35" s="1419">
        <v>55.35</v>
      </c>
      <c r="M35" s="129">
        <f t="shared" si="1"/>
        <v>68</v>
      </c>
      <c r="N35" s="1421">
        <v>55.35</v>
      </c>
      <c r="O35" s="1422">
        <v>53.75</v>
      </c>
      <c r="P35" s="1376">
        <v>55.35</v>
      </c>
      <c r="Q35" s="1420">
        <v>55.35</v>
      </c>
      <c r="R35" s="1381"/>
      <c r="S35" s="1420">
        <v>61.63</v>
      </c>
      <c r="T35" s="1381">
        <v>53.75</v>
      </c>
      <c r="U35" s="1423">
        <v>53.75</v>
      </c>
      <c r="V35" s="511"/>
      <c r="W35" s="117"/>
    </row>
    <row r="36" spans="1:23" s="116" customFormat="1">
      <c r="A36" s="129">
        <f t="shared" si="0"/>
        <v>67</v>
      </c>
      <c r="B36" s="1419">
        <v>54.94</v>
      </c>
      <c r="C36" s="1420">
        <v>54.93</v>
      </c>
      <c r="D36" s="1376">
        <v>54.94</v>
      </c>
      <c r="E36" s="1420">
        <v>54.94</v>
      </c>
      <c r="F36" s="1376"/>
      <c r="G36" s="1420">
        <v>61.31</v>
      </c>
      <c r="H36" s="1376">
        <v>40.200844192060039</v>
      </c>
      <c r="I36" s="1420">
        <v>54.93</v>
      </c>
      <c r="J36" s="1376">
        <v>54.94</v>
      </c>
      <c r="K36" s="1420">
        <v>54.939393939393945</v>
      </c>
      <c r="L36" s="1419">
        <v>54.94</v>
      </c>
      <c r="M36" s="129">
        <f t="shared" si="1"/>
        <v>67</v>
      </c>
      <c r="N36" s="1421">
        <v>54.94</v>
      </c>
      <c r="O36" s="1422">
        <v>53.31</v>
      </c>
      <c r="P36" s="1376">
        <v>54.94</v>
      </c>
      <c r="Q36" s="1420">
        <v>54.94</v>
      </c>
      <c r="R36" s="1381"/>
      <c r="S36" s="1420">
        <v>61.31</v>
      </c>
      <c r="T36" s="1381">
        <v>53.32</v>
      </c>
      <c r="U36" s="1423">
        <v>53.32</v>
      </c>
      <c r="V36" s="511"/>
      <c r="W36" s="117"/>
    </row>
    <row r="37" spans="1:23" s="116" customFormat="1">
      <c r="A37" s="129">
        <f t="shared" si="0"/>
        <v>66</v>
      </c>
      <c r="B37" s="1419">
        <v>54.55</v>
      </c>
      <c r="C37" s="1420">
        <v>54.55</v>
      </c>
      <c r="D37" s="1376">
        <v>54.55</v>
      </c>
      <c r="E37" s="1420">
        <v>54.55</v>
      </c>
      <c r="F37" s="1376"/>
      <c r="G37" s="1420">
        <v>60.98</v>
      </c>
      <c r="H37" s="1376">
        <v>39.928002839324648</v>
      </c>
      <c r="I37" s="1420">
        <v>54.55</v>
      </c>
      <c r="J37" s="1376">
        <v>54.55</v>
      </c>
      <c r="K37" s="1420">
        <v>54.554545454545455</v>
      </c>
      <c r="L37" s="1419">
        <v>54.55</v>
      </c>
      <c r="M37" s="129">
        <f t="shared" si="1"/>
        <v>66</v>
      </c>
      <c r="N37" s="1421">
        <v>54.55</v>
      </c>
      <c r="O37" s="1422">
        <v>52.94</v>
      </c>
      <c r="P37" s="1376">
        <v>54.55</v>
      </c>
      <c r="Q37" s="1420">
        <v>54.55</v>
      </c>
      <c r="R37" s="1381"/>
      <c r="S37" s="1420">
        <v>60.98</v>
      </c>
      <c r="T37" s="1381">
        <v>52.95</v>
      </c>
      <c r="U37" s="1423">
        <v>52.95</v>
      </c>
      <c r="V37" s="511"/>
      <c r="W37" s="117"/>
    </row>
    <row r="38" spans="1:23" s="116" customFormat="1">
      <c r="A38" s="129">
        <f t="shared" si="0"/>
        <v>65</v>
      </c>
      <c r="B38" s="1419">
        <v>54.18</v>
      </c>
      <c r="C38" s="1420">
        <v>54.18</v>
      </c>
      <c r="D38" s="1376">
        <v>54.18</v>
      </c>
      <c r="E38" s="1420">
        <v>54.18</v>
      </c>
      <c r="F38" s="1376"/>
      <c r="G38" s="1420">
        <v>60.66</v>
      </c>
      <c r="H38" s="1376">
        <v>39.651834153019323</v>
      </c>
      <c r="I38" s="1420">
        <v>54.18</v>
      </c>
      <c r="J38" s="1376">
        <v>54.18</v>
      </c>
      <c r="K38" s="1420">
        <v>54.18030303030303</v>
      </c>
      <c r="L38" s="1419">
        <v>54.18</v>
      </c>
      <c r="M38" s="129">
        <f t="shared" si="1"/>
        <v>65</v>
      </c>
      <c r="N38" s="1421">
        <v>54.18</v>
      </c>
      <c r="O38" s="1422">
        <v>52.43</v>
      </c>
      <c r="P38" s="1376">
        <v>54.18</v>
      </c>
      <c r="Q38" s="1420">
        <v>54.18</v>
      </c>
      <c r="R38" s="1381"/>
      <c r="S38" s="1420">
        <v>60.66</v>
      </c>
      <c r="T38" s="1381">
        <v>52.44</v>
      </c>
      <c r="U38" s="1423">
        <v>52.43</v>
      </c>
      <c r="V38" s="511"/>
      <c r="W38" s="117"/>
    </row>
    <row r="39" spans="1:23" s="116" customFormat="1">
      <c r="A39" s="129">
        <f t="shared" si="0"/>
        <v>64</v>
      </c>
      <c r="B39" s="1419">
        <v>53.81</v>
      </c>
      <c r="C39" s="1420">
        <v>53.8</v>
      </c>
      <c r="D39" s="1376">
        <v>53.81</v>
      </c>
      <c r="E39" s="1420">
        <v>53.81</v>
      </c>
      <c r="F39" s="1376"/>
      <c r="G39" s="1420">
        <v>60.34</v>
      </c>
      <c r="H39" s="1376">
        <v>39.369010799574106</v>
      </c>
      <c r="I39" s="1420">
        <v>53.8</v>
      </c>
      <c r="J39" s="1376">
        <v>53.81</v>
      </c>
      <c r="K39" s="1420">
        <v>53.806060606060605</v>
      </c>
      <c r="L39" s="1419">
        <v>53.81</v>
      </c>
      <c r="M39" s="129">
        <f t="shared" si="1"/>
        <v>64</v>
      </c>
      <c r="N39" s="1421">
        <v>53.81</v>
      </c>
      <c r="O39" s="1422">
        <v>52.02</v>
      </c>
      <c r="P39" s="1376">
        <v>53.81</v>
      </c>
      <c r="Q39" s="1420">
        <v>53.81</v>
      </c>
      <c r="R39" s="1381"/>
      <c r="S39" s="1420">
        <v>60.34</v>
      </c>
      <c r="T39" s="1381">
        <v>52.02</v>
      </c>
      <c r="U39" s="1423">
        <v>52.02</v>
      </c>
      <c r="V39" s="511"/>
      <c r="W39" s="117"/>
    </row>
    <row r="40" spans="1:23" s="116" customFormat="1">
      <c r="A40" s="129">
        <f t="shared" si="0"/>
        <v>63</v>
      </c>
      <c r="B40" s="1419">
        <v>53.45</v>
      </c>
      <c r="C40" s="1420">
        <v>53.44</v>
      </c>
      <c r="D40" s="1376">
        <v>53.45</v>
      </c>
      <c r="E40" s="1420">
        <v>53.45</v>
      </c>
      <c r="F40" s="1376"/>
      <c r="G40" s="1420">
        <v>60.01</v>
      </c>
      <c r="H40" s="1376">
        <v>39.112806114688432</v>
      </c>
      <c r="I40" s="1420">
        <v>53.44</v>
      </c>
      <c r="J40" s="1376">
        <v>53.45</v>
      </c>
      <c r="K40" s="1420">
        <v>53.446969696969695</v>
      </c>
      <c r="L40" s="1419">
        <v>53.45</v>
      </c>
      <c r="M40" s="129">
        <f t="shared" si="1"/>
        <v>63</v>
      </c>
      <c r="N40" s="1421">
        <v>53.45</v>
      </c>
      <c r="O40" s="1422">
        <v>51.69</v>
      </c>
      <c r="P40" s="1376">
        <v>53.45</v>
      </c>
      <c r="Q40" s="1420">
        <v>53.45</v>
      </c>
      <c r="R40" s="1381"/>
      <c r="S40" s="1420">
        <v>60.01</v>
      </c>
      <c r="T40" s="1381">
        <v>51.69</v>
      </c>
      <c r="U40" s="1423">
        <v>51.69</v>
      </c>
      <c r="V40" s="511"/>
      <c r="W40" s="117"/>
    </row>
    <row r="41" spans="1:23" s="116" customFormat="1">
      <c r="A41" s="129">
        <f t="shared" si="0"/>
        <v>62</v>
      </c>
      <c r="B41" s="1419">
        <v>53.09</v>
      </c>
      <c r="C41" s="1420">
        <v>53.08</v>
      </c>
      <c r="D41" s="1376">
        <v>53.09</v>
      </c>
      <c r="E41" s="1420">
        <v>53.09</v>
      </c>
      <c r="F41" s="1376"/>
      <c r="G41" s="1420">
        <v>59.69</v>
      </c>
      <c r="H41" s="1376">
        <v>38.849946762662888</v>
      </c>
      <c r="I41" s="1420">
        <v>53.08</v>
      </c>
      <c r="J41" s="1376">
        <v>53.09</v>
      </c>
      <c r="K41" s="1420">
        <v>53.087878787878793</v>
      </c>
      <c r="L41" s="1419">
        <v>53.09</v>
      </c>
      <c r="M41" s="129">
        <f t="shared" si="1"/>
        <v>62</v>
      </c>
      <c r="N41" s="1421">
        <v>53.09</v>
      </c>
      <c r="O41" s="1422">
        <v>51.34</v>
      </c>
      <c r="P41" s="1376">
        <v>53.09</v>
      </c>
      <c r="Q41" s="1420">
        <v>53.09</v>
      </c>
      <c r="R41" s="1381"/>
      <c r="S41" s="1420">
        <v>59.69</v>
      </c>
      <c r="T41" s="1381">
        <v>51.34</v>
      </c>
      <c r="U41" s="1423">
        <v>51.34</v>
      </c>
      <c r="V41" s="511"/>
      <c r="W41" s="117"/>
    </row>
    <row r="42" spans="1:23" s="14" customFormat="1" ht="14.25" thickBot="1">
      <c r="A42" s="132">
        <f t="shared" si="0"/>
        <v>61</v>
      </c>
      <c r="B42" s="1434">
        <v>52.73</v>
      </c>
      <c r="C42" s="1435">
        <v>52.72</v>
      </c>
      <c r="D42" s="1379">
        <v>52.73</v>
      </c>
      <c r="E42" s="1435">
        <v>52.73</v>
      </c>
      <c r="F42" s="1379"/>
      <c r="G42" s="1435">
        <v>59.36</v>
      </c>
      <c r="H42" s="1379">
        <v>38.593742077777222</v>
      </c>
      <c r="I42" s="1435">
        <v>52.72</v>
      </c>
      <c r="J42" s="1379">
        <v>52.73</v>
      </c>
      <c r="K42" s="1435">
        <v>52.728787878787877</v>
      </c>
      <c r="L42" s="1434">
        <v>52.73</v>
      </c>
      <c r="M42" s="132">
        <f t="shared" si="1"/>
        <v>61</v>
      </c>
      <c r="N42" s="1436">
        <v>52.73</v>
      </c>
      <c r="O42" s="1437">
        <v>50.93</v>
      </c>
      <c r="P42" s="1379">
        <v>52.73</v>
      </c>
      <c r="Q42" s="1435">
        <v>52.73</v>
      </c>
      <c r="R42" s="1384"/>
      <c r="S42" s="1435">
        <v>59.36</v>
      </c>
      <c r="T42" s="1384">
        <v>50.93</v>
      </c>
      <c r="U42" s="1438">
        <v>50.93</v>
      </c>
      <c r="V42" s="514"/>
      <c r="W42" s="53"/>
    </row>
    <row r="43" spans="1:23" s="18" customFormat="1">
      <c r="A43" s="128">
        <f t="shared" si="0"/>
        <v>60</v>
      </c>
      <c r="B43" s="1414">
        <v>52.32</v>
      </c>
      <c r="C43" s="1415">
        <v>52.32</v>
      </c>
      <c r="D43" s="1375">
        <v>52.32</v>
      </c>
      <c r="E43" s="1415">
        <v>52.32</v>
      </c>
      <c r="F43" s="1375"/>
      <c r="G43" s="1415">
        <v>59.04</v>
      </c>
      <c r="H43" s="1375">
        <v>38.19</v>
      </c>
      <c r="I43" s="1415">
        <v>52.32</v>
      </c>
      <c r="J43" s="1375">
        <v>52.32</v>
      </c>
      <c r="K43" s="1415">
        <v>52.324242424242421</v>
      </c>
      <c r="L43" s="1414">
        <v>52.32</v>
      </c>
      <c r="M43" s="128">
        <f t="shared" si="1"/>
        <v>60</v>
      </c>
      <c r="N43" s="1416">
        <v>52.32</v>
      </c>
      <c r="O43" s="1417">
        <v>50.56</v>
      </c>
      <c r="P43" s="1375">
        <v>52.32</v>
      </c>
      <c r="Q43" s="1415">
        <v>52.32</v>
      </c>
      <c r="R43" s="1380"/>
      <c r="S43" s="1415">
        <v>59.04</v>
      </c>
      <c r="T43" s="1380">
        <v>50.57</v>
      </c>
      <c r="U43" s="1418">
        <v>50.57</v>
      </c>
      <c r="V43" s="510"/>
      <c r="W43" s="54"/>
    </row>
    <row r="44" spans="1:23" s="116" customFormat="1">
      <c r="A44" s="129">
        <f t="shared" si="0"/>
        <v>59</v>
      </c>
      <c r="B44" s="1419">
        <v>51.94</v>
      </c>
      <c r="C44" s="1420">
        <v>51.94</v>
      </c>
      <c r="D44" s="1376">
        <v>51.94</v>
      </c>
      <c r="E44" s="1420">
        <v>51.94</v>
      </c>
      <c r="F44" s="1376"/>
      <c r="G44" s="1420">
        <v>58.72</v>
      </c>
      <c r="H44" s="1376">
        <v>37.79</v>
      </c>
      <c r="I44" s="1420">
        <v>51.94</v>
      </c>
      <c r="J44" s="1376">
        <v>51.94</v>
      </c>
      <c r="K44" s="1420">
        <v>51.942424242424245</v>
      </c>
      <c r="L44" s="1419">
        <v>51.94</v>
      </c>
      <c r="M44" s="129">
        <f t="shared" si="1"/>
        <v>59</v>
      </c>
      <c r="N44" s="1421">
        <v>51.94</v>
      </c>
      <c r="O44" s="1422">
        <v>50.26</v>
      </c>
      <c r="P44" s="1376">
        <v>51.94</v>
      </c>
      <c r="Q44" s="1420">
        <v>51.94</v>
      </c>
      <c r="R44" s="1381"/>
      <c r="S44" s="1420">
        <v>58.72</v>
      </c>
      <c r="T44" s="1381">
        <v>50.26</v>
      </c>
      <c r="U44" s="1423">
        <v>50.26</v>
      </c>
      <c r="V44" s="511"/>
      <c r="W44" s="117"/>
    </row>
    <row r="45" spans="1:23" s="116" customFormat="1">
      <c r="A45" s="129">
        <f t="shared" si="0"/>
        <v>58</v>
      </c>
      <c r="B45" s="1419">
        <v>51.64</v>
      </c>
      <c r="C45" s="1420">
        <v>51.63</v>
      </c>
      <c r="D45" s="1376">
        <v>51.64</v>
      </c>
      <c r="E45" s="1420">
        <v>51.64</v>
      </c>
      <c r="F45" s="1376"/>
      <c r="G45" s="1420">
        <v>58.39</v>
      </c>
      <c r="H45" s="1376">
        <v>37.39</v>
      </c>
      <c r="I45" s="1420">
        <v>51.63</v>
      </c>
      <c r="J45" s="1376">
        <v>51.64</v>
      </c>
      <c r="K45" s="1420">
        <v>51.636363636363633</v>
      </c>
      <c r="L45" s="1419">
        <v>51.64</v>
      </c>
      <c r="M45" s="129">
        <f t="shared" si="1"/>
        <v>58</v>
      </c>
      <c r="N45" s="1421">
        <v>51.64</v>
      </c>
      <c r="O45" s="1422">
        <v>49.91</v>
      </c>
      <c r="P45" s="1376">
        <v>51.64</v>
      </c>
      <c r="Q45" s="1420">
        <v>51.64</v>
      </c>
      <c r="R45" s="1381"/>
      <c r="S45" s="1420">
        <v>58.39</v>
      </c>
      <c r="T45" s="1381">
        <v>49.92</v>
      </c>
      <c r="U45" s="1423">
        <v>49.92</v>
      </c>
      <c r="V45" s="511"/>
      <c r="W45" s="117"/>
    </row>
    <row r="46" spans="1:23" s="116" customFormat="1">
      <c r="A46" s="129">
        <f t="shared" si="0"/>
        <v>57</v>
      </c>
      <c r="B46" s="1419">
        <v>51.25</v>
      </c>
      <c r="C46" s="1420">
        <v>51.24</v>
      </c>
      <c r="D46" s="1376">
        <v>51.25</v>
      </c>
      <c r="E46" s="1420">
        <v>51.25</v>
      </c>
      <c r="F46" s="1376"/>
      <c r="G46" s="1420">
        <v>58.07</v>
      </c>
      <c r="H46" s="1376">
        <v>36.99</v>
      </c>
      <c r="I46" s="1420">
        <v>51.24</v>
      </c>
      <c r="J46" s="1376">
        <v>51.25</v>
      </c>
      <c r="K46" s="1420">
        <v>51.2469696969697</v>
      </c>
      <c r="L46" s="1419">
        <v>51.25</v>
      </c>
      <c r="M46" s="129">
        <f t="shared" si="1"/>
        <v>57</v>
      </c>
      <c r="N46" s="1421">
        <v>51.25</v>
      </c>
      <c r="O46" s="1422">
        <v>49.5</v>
      </c>
      <c r="P46" s="1376">
        <v>51.25</v>
      </c>
      <c r="Q46" s="1420">
        <v>51.25</v>
      </c>
      <c r="R46" s="1381"/>
      <c r="S46" s="1420">
        <v>58.07</v>
      </c>
      <c r="T46" s="1381">
        <v>49.51</v>
      </c>
      <c r="U46" s="1423">
        <v>49.51</v>
      </c>
      <c r="V46" s="511"/>
      <c r="W46" s="117"/>
    </row>
    <row r="47" spans="1:23" s="116" customFormat="1">
      <c r="A47" s="129">
        <f t="shared" si="0"/>
        <v>56</v>
      </c>
      <c r="B47" s="1419">
        <v>50.86</v>
      </c>
      <c r="C47" s="1420">
        <v>50.85</v>
      </c>
      <c r="D47" s="1376">
        <v>50.86</v>
      </c>
      <c r="E47" s="1420">
        <v>50.86</v>
      </c>
      <c r="F47" s="1376"/>
      <c r="G47" s="1420">
        <v>57.74</v>
      </c>
      <c r="H47" s="1376">
        <v>36.590000000000003</v>
      </c>
      <c r="I47" s="1420">
        <v>50.85</v>
      </c>
      <c r="J47" s="1376">
        <v>50.86</v>
      </c>
      <c r="K47" s="1420">
        <v>50.857575757575752</v>
      </c>
      <c r="L47" s="1419">
        <v>50.86</v>
      </c>
      <c r="M47" s="129">
        <f t="shared" si="1"/>
        <v>56</v>
      </c>
      <c r="N47" s="1421">
        <v>50.86</v>
      </c>
      <c r="O47" s="1422">
        <v>49.21</v>
      </c>
      <c r="P47" s="1376">
        <v>50.86</v>
      </c>
      <c r="Q47" s="1420">
        <v>50.86</v>
      </c>
      <c r="R47" s="1381"/>
      <c r="S47" s="1420">
        <v>57.74</v>
      </c>
      <c r="T47" s="1381">
        <v>49.21</v>
      </c>
      <c r="U47" s="1423">
        <v>49.21</v>
      </c>
      <c r="V47" s="511"/>
      <c r="W47" s="117"/>
    </row>
    <row r="48" spans="1:23" s="116" customFormat="1">
      <c r="A48" s="129">
        <f t="shared" si="0"/>
        <v>55</v>
      </c>
      <c r="B48" s="1419">
        <v>50.51</v>
      </c>
      <c r="C48" s="1420">
        <v>50.51</v>
      </c>
      <c r="D48" s="1376">
        <v>50.51</v>
      </c>
      <c r="E48" s="1420">
        <v>50.51</v>
      </c>
      <c r="F48" s="1376"/>
      <c r="G48" s="1420">
        <v>57.42</v>
      </c>
      <c r="H48" s="1376">
        <v>36.19</v>
      </c>
      <c r="I48" s="1420">
        <v>50.51</v>
      </c>
      <c r="J48" s="1376">
        <v>50.51</v>
      </c>
      <c r="K48" s="1420">
        <v>50.510606060606058</v>
      </c>
      <c r="L48" s="1419">
        <v>50.51</v>
      </c>
      <c r="M48" s="129">
        <f t="shared" si="1"/>
        <v>55</v>
      </c>
      <c r="N48" s="1421">
        <v>50.51</v>
      </c>
      <c r="O48" s="1422">
        <v>48.91</v>
      </c>
      <c r="P48" s="1376">
        <v>50.51</v>
      </c>
      <c r="Q48" s="1420">
        <v>50.51</v>
      </c>
      <c r="R48" s="1381"/>
      <c r="S48" s="1420">
        <v>57.42</v>
      </c>
      <c r="T48" s="1381">
        <v>48.92</v>
      </c>
      <c r="U48" s="1423">
        <v>48.92</v>
      </c>
      <c r="V48" s="511"/>
      <c r="W48" s="117"/>
    </row>
    <row r="49" spans="1:23" s="116" customFormat="1">
      <c r="A49" s="129">
        <f t="shared" si="0"/>
        <v>54</v>
      </c>
      <c r="B49" s="1419">
        <v>50.22</v>
      </c>
      <c r="C49" s="1420">
        <v>50.21</v>
      </c>
      <c r="D49" s="1376">
        <v>50.22</v>
      </c>
      <c r="E49" s="1420">
        <v>50.22</v>
      </c>
      <c r="F49" s="1376"/>
      <c r="G49" s="1420">
        <v>57.1</v>
      </c>
      <c r="H49" s="1376">
        <v>35.79</v>
      </c>
      <c r="I49" s="1420">
        <v>50.21</v>
      </c>
      <c r="J49" s="1376">
        <v>50.22</v>
      </c>
      <c r="K49" s="1420">
        <v>50.216666666666669</v>
      </c>
      <c r="L49" s="1419">
        <v>50.22</v>
      </c>
      <c r="M49" s="129">
        <f t="shared" si="1"/>
        <v>54</v>
      </c>
      <c r="N49" s="1421">
        <v>50.22</v>
      </c>
      <c r="O49" s="1422">
        <v>48.64</v>
      </c>
      <c r="P49" s="1376">
        <v>50.22</v>
      </c>
      <c r="Q49" s="1420">
        <v>50.22</v>
      </c>
      <c r="R49" s="1381"/>
      <c r="S49" s="1420">
        <v>57.1</v>
      </c>
      <c r="T49" s="1381">
        <v>48.65</v>
      </c>
      <c r="U49" s="1423">
        <v>48.65</v>
      </c>
      <c r="V49" s="511"/>
      <c r="W49" s="117"/>
    </row>
    <row r="50" spans="1:23" s="116" customFormat="1">
      <c r="A50" s="129">
        <f t="shared" si="0"/>
        <v>53</v>
      </c>
      <c r="B50" s="1419">
        <v>49.91</v>
      </c>
      <c r="C50" s="1420">
        <v>49.91</v>
      </c>
      <c r="D50" s="1376">
        <v>49.92</v>
      </c>
      <c r="E50" s="1420">
        <v>49.92</v>
      </c>
      <c r="F50" s="1376"/>
      <c r="G50" s="1420">
        <v>56.77</v>
      </c>
      <c r="H50" s="1376">
        <v>35.39</v>
      </c>
      <c r="I50" s="1420">
        <v>49.91</v>
      </c>
      <c r="J50" s="1376">
        <v>49.91</v>
      </c>
      <c r="K50" s="1420">
        <v>49.915151515151521</v>
      </c>
      <c r="L50" s="1419">
        <v>49.92</v>
      </c>
      <c r="M50" s="129">
        <f t="shared" si="1"/>
        <v>53</v>
      </c>
      <c r="N50" s="1421">
        <v>49.91</v>
      </c>
      <c r="O50" s="1422">
        <v>48.37</v>
      </c>
      <c r="P50" s="1376">
        <v>49.92</v>
      </c>
      <c r="Q50" s="1420">
        <v>49.92</v>
      </c>
      <c r="R50" s="1381"/>
      <c r="S50" s="1420">
        <v>56.77</v>
      </c>
      <c r="T50" s="1381">
        <v>48.37</v>
      </c>
      <c r="U50" s="1423">
        <v>48.37</v>
      </c>
      <c r="V50" s="511"/>
      <c r="W50" s="117"/>
    </row>
    <row r="51" spans="1:23" s="116" customFormat="1">
      <c r="A51" s="129">
        <f t="shared" si="0"/>
        <v>52</v>
      </c>
      <c r="B51" s="1419">
        <v>49.59</v>
      </c>
      <c r="C51" s="1420">
        <v>49.59</v>
      </c>
      <c r="D51" s="1376">
        <v>49.59</v>
      </c>
      <c r="E51" s="1420">
        <v>49.59</v>
      </c>
      <c r="F51" s="1376"/>
      <c r="G51" s="1420">
        <v>56.45</v>
      </c>
      <c r="H51" s="1376">
        <v>34.99</v>
      </c>
      <c r="I51" s="1420">
        <v>49.59</v>
      </c>
      <c r="J51" s="1376">
        <v>49.59</v>
      </c>
      <c r="K51" s="1420">
        <v>49.593939393939394</v>
      </c>
      <c r="L51" s="1419">
        <v>49.59</v>
      </c>
      <c r="M51" s="129">
        <f t="shared" si="1"/>
        <v>52</v>
      </c>
      <c r="N51" s="1421">
        <v>49.59</v>
      </c>
      <c r="O51" s="1422">
        <v>48.06</v>
      </c>
      <c r="P51" s="1376">
        <v>49.59</v>
      </c>
      <c r="Q51" s="1420">
        <v>49.59</v>
      </c>
      <c r="R51" s="1381"/>
      <c r="S51" s="1420">
        <v>56.45</v>
      </c>
      <c r="T51" s="1381">
        <v>48.07</v>
      </c>
      <c r="U51" s="1423">
        <v>48.07</v>
      </c>
      <c r="V51" s="511"/>
      <c r="W51" s="117"/>
    </row>
    <row r="52" spans="1:23" s="7" customFormat="1" ht="14.25" thickBot="1">
      <c r="A52" s="130">
        <f t="shared" si="0"/>
        <v>51</v>
      </c>
      <c r="B52" s="1424">
        <v>49.26</v>
      </c>
      <c r="C52" s="1425">
        <v>49.25</v>
      </c>
      <c r="D52" s="1377">
        <v>49.26</v>
      </c>
      <c r="E52" s="1425">
        <v>49.26</v>
      </c>
      <c r="F52" s="1377"/>
      <c r="G52" s="1425">
        <v>56.12</v>
      </c>
      <c r="H52" s="1377">
        <v>34.590000000000003</v>
      </c>
      <c r="I52" s="1425">
        <v>49.25</v>
      </c>
      <c r="J52" s="1377">
        <v>49.26</v>
      </c>
      <c r="K52" s="1425">
        <v>49.257575757575758</v>
      </c>
      <c r="L52" s="1424">
        <v>49.26</v>
      </c>
      <c r="M52" s="130">
        <f t="shared" si="1"/>
        <v>51</v>
      </c>
      <c r="N52" s="1426">
        <v>49.26</v>
      </c>
      <c r="O52" s="1427">
        <v>47.76</v>
      </c>
      <c r="P52" s="1377">
        <v>49.26</v>
      </c>
      <c r="Q52" s="1425">
        <v>49.26</v>
      </c>
      <c r="R52" s="1382"/>
      <c r="S52" s="1425">
        <v>56.12</v>
      </c>
      <c r="T52" s="1382">
        <v>47.77</v>
      </c>
      <c r="U52" s="1428">
        <v>47.77</v>
      </c>
      <c r="V52" s="512"/>
      <c r="W52" s="55"/>
    </row>
    <row r="53" spans="1:23" s="17" customFormat="1">
      <c r="A53" s="131">
        <f t="shared" si="0"/>
        <v>50</v>
      </c>
      <c r="B53" s="1429">
        <v>48.93</v>
      </c>
      <c r="C53" s="1430">
        <v>48.93</v>
      </c>
      <c r="D53" s="1378">
        <v>48.93</v>
      </c>
      <c r="E53" s="1430">
        <v>48.93</v>
      </c>
      <c r="F53" s="1378"/>
      <c r="G53" s="1430">
        <v>39.6</v>
      </c>
      <c r="H53" s="1378">
        <v>34.19</v>
      </c>
      <c r="I53" s="1430">
        <v>48.93</v>
      </c>
      <c r="J53" s="1378">
        <v>48.93</v>
      </c>
      <c r="K53" s="1430">
        <v>48.93181818181818</v>
      </c>
      <c r="L53" s="1429">
        <v>48.93</v>
      </c>
      <c r="M53" s="131">
        <f t="shared" si="1"/>
        <v>50</v>
      </c>
      <c r="N53" s="1431">
        <v>48.93</v>
      </c>
      <c r="O53" s="1432">
        <v>47.49</v>
      </c>
      <c r="P53" s="1378">
        <v>48.93</v>
      </c>
      <c r="Q53" s="1430">
        <v>48.93</v>
      </c>
      <c r="R53" s="1383"/>
      <c r="S53" s="1430">
        <v>39.6</v>
      </c>
      <c r="T53" s="1383">
        <v>47.5</v>
      </c>
      <c r="U53" s="1433">
        <v>47.5</v>
      </c>
      <c r="V53" s="513"/>
      <c r="W53" s="56"/>
    </row>
    <row r="54" spans="1:23" s="116" customFormat="1">
      <c r="A54" s="129">
        <f t="shared" si="0"/>
        <v>49</v>
      </c>
      <c r="B54" s="1419">
        <v>48.65</v>
      </c>
      <c r="C54" s="1420">
        <v>48.64</v>
      </c>
      <c r="D54" s="1376">
        <v>48.65</v>
      </c>
      <c r="E54" s="1420">
        <v>48.65</v>
      </c>
      <c r="F54" s="1376"/>
      <c r="G54" s="1420">
        <v>55.8</v>
      </c>
      <c r="H54" s="1376">
        <v>33.79</v>
      </c>
      <c r="I54" s="1420">
        <v>48.64</v>
      </c>
      <c r="J54" s="1376">
        <v>48.65</v>
      </c>
      <c r="K54" s="1420">
        <v>48.648484848484848</v>
      </c>
      <c r="L54" s="1419">
        <v>48.65</v>
      </c>
      <c r="M54" s="129">
        <f t="shared" si="1"/>
        <v>49</v>
      </c>
      <c r="N54" s="1421">
        <v>48.65</v>
      </c>
      <c r="O54" s="1422">
        <v>47.22</v>
      </c>
      <c r="P54" s="1376">
        <v>48.65</v>
      </c>
      <c r="Q54" s="1420">
        <v>48.65</v>
      </c>
      <c r="R54" s="1381"/>
      <c r="S54" s="1420">
        <v>55.8</v>
      </c>
      <c r="T54" s="1381">
        <v>47.23</v>
      </c>
      <c r="U54" s="1423">
        <v>47.23</v>
      </c>
      <c r="V54" s="511"/>
      <c r="W54" s="117"/>
    </row>
    <row r="55" spans="1:23" s="116" customFormat="1">
      <c r="A55" s="129">
        <f t="shared" si="0"/>
        <v>48</v>
      </c>
      <c r="B55" s="1419">
        <v>48.37</v>
      </c>
      <c r="C55" s="1420">
        <v>48.37</v>
      </c>
      <c r="D55" s="1376">
        <v>48.37</v>
      </c>
      <c r="E55" s="1420">
        <v>48.37</v>
      </c>
      <c r="F55" s="1376"/>
      <c r="G55" s="1420">
        <v>55.48</v>
      </c>
      <c r="H55" s="1376">
        <v>33.39</v>
      </c>
      <c r="I55" s="1420">
        <v>48.37</v>
      </c>
      <c r="J55" s="1376">
        <v>48.37</v>
      </c>
      <c r="K55" s="1420">
        <v>48.372727272727275</v>
      </c>
      <c r="L55" s="1419">
        <v>48.37</v>
      </c>
      <c r="M55" s="129">
        <f t="shared" si="1"/>
        <v>48</v>
      </c>
      <c r="N55" s="1421">
        <v>48.37</v>
      </c>
      <c r="O55" s="1422">
        <v>46.98</v>
      </c>
      <c r="P55" s="1376">
        <v>48.37</v>
      </c>
      <c r="Q55" s="1420">
        <v>48.37</v>
      </c>
      <c r="R55" s="1381"/>
      <c r="S55" s="1420">
        <v>55.48</v>
      </c>
      <c r="T55" s="1381">
        <v>46.99</v>
      </c>
      <c r="U55" s="1423">
        <v>46.99</v>
      </c>
      <c r="V55" s="511"/>
      <c r="W55" s="117"/>
    </row>
    <row r="56" spans="1:23" s="116" customFormat="1">
      <c r="A56" s="129">
        <f t="shared" si="0"/>
        <v>47</v>
      </c>
      <c r="B56" s="1419">
        <v>48.1</v>
      </c>
      <c r="C56" s="1420">
        <v>48.09</v>
      </c>
      <c r="D56" s="1376">
        <v>48.1</v>
      </c>
      <c r="E56" s="1420">
        <v>48.1</v>
      </c>
      <c r="F56" s="1376"/>
      <c r="G56" s="1420">
        <v>55.15</v>
      </c>
      <c r="H56" s="1376">
        <v>32.99</v>
      </c>
      <c r="I56" s="1420">
        <v>48.09</v>
      </c>
      <c r="J56" s="1376">
        <v>48.1</v>
      </c>
      <c r="K56" s="1420">
        <v>48.096969696969694</v>
      </c>
      <c r="L56" s="1419">
        <v>48.1</v>
      </c>
      <c r="M56" s="129">
        <f t="shared" si="1"/>
        <v>47</v>
      </c>
      <c r="N56" s="1421">
        <v>48.1</v>
      </c>
      <c r="O56" s="1422">
        <v>46.72</v>
      </c>
      <c r="P56" s="1376">
        <v>48.1</v>
      </c>
      <c r="Q56" s="1420">
        <v>48.1</v>
      </c>
      <c r="R56" s="1381"/>
      <c r="S56" s="1420">
        <v>55.15</v>
      </c>
      <c r="T56" s="1381">
        <v>46.73</v>
      </c>
      <c r="U56" s="1423">
        <v>46.73</v>
      </c>
      <c r="V56" s="511"/>
      <c r="W56" s="117"/>
    </row>
    <row r="57" spans="1:23" s="116" customFormat="1">
      <c r="A57" s="129">
        <f t="shared" si="0"/>
        <v>46</v>
      </c>
      <c r="B57" s="1419">
        <v>47.82</v>
      </c>
      <c r="C57" s="1420">
        <v>47.81</v>
      </c>
      <c r="D57" s="1376">
        <v>47.82</v>
      </c>
      <c r="E57" s="1420">
        <v>47.82</v>
      </c>
      <c r="F57" s="1376"/>
      <c r="G57" s="1420">
        <v>54.83</v>
      </c>
      <c r="H57" s="1376">
        <v>32.590000000000003</v>
      </c>
      <c r="I57" s="1420">
        <v>47.81</v>
      </c>
      <c r="J57" s="1376">
        <v>47.82</v>
      </c>
      <c r="K57" s="1420">
        <v>47.81818181818182</v>
      </c>
      <c r="L57" s="1419">
        <v>47.82</v>
      </c>
      <c r="M57" s="129">
        <f t="shared" si="1"/>
        <v>46</v>
      </c>
      <c r="N57" s="1421">
        <v>47.82</v>
      </c>
      <c r="O57" s="1422">
        <v>46.46</v>
      </c>
      <c r="P57" s="1376">
        <v>47.82</v>
      </c>
      <c r="Q57" s="1420">
        <v>47.82</v>
      </c>
      <c r="R57" s="1381"/>
      <c r="S57" s="1420">
        <v>54.83</v>
      </c>
      <c r="T57" s="1381">
        <v>46.47</v>
      </c>
      <c r="U57" s="1423">
        <v>46.47</v>
      </c>
      <c r="V57" s="511"/>
      <c r="W57" s="117"/>
    </row>
    <row r="58" spans="1:23" s="116" customFormat="1">
      <c r="A58" s="129">
        <f t="shared" si="0"/>
        <v>45</v>
      </c>
      <c r="B58" s="1419">
        <v>47.52</v>
      </c>
      <c r="C58" s="1420">
        <v>47.51</v>
      </c>
      <c r="D58" s="1376">
        <v>47.52</v>
      </c>
      <c r="E58" s="1420">
        <v>47.52</v>
      </c>
      <c r="F58" s="1376"/>
      <c r="G58" s="1420">
        <v>54.5</v>
      </c>
      <c r="H58" s="1376">
        <v>32.19</v>
      </c>
      <c r="I58" s="1420">
        <v>47.51</v>
      </c>
      <c r="J58" s="1376">
        <v>47.52</v>
      </c>
      <c r="K58" s="1420">
        <v>47.516666666666673</v>
      </c>
      <c r="L58" s="1419">
        <v>47.52</v>
      </c>
      <c r="M58" s="129">
        <f t="shared" si="1"/>
        <v>45</v>
      </c>
      <c r="N58" s="1421">
        <v>47.52</v>
      </c>
      <c r="O58" s="1422">
        <v>46.22</v>
      </c>
      <c r="P58" s="1376">
        <v>47.52</v>
      </c>
      <c r="Q58" s="1420">
        <v>47.52</v>
      </c>
      <c r="R58" s="1381"/>
      <c r="S58" s="1420">
        <v>54.5</v>
      </c>
      <c r="T58" s="1381">
        <v>46.23</v>
      </c>
      <c r="U58" s="1423">
        <v>46.23</v>
      </c>
      <c r="V58" s="511"/>
      <c r="W58" s="117"/>
    </row>
    <row r="59" spans="1:23" s="116" customFormat="1">
      <c r="A59" s="129">
        <f t="shared" si="0"/>
        <v>44</v>
      </c>
      <c r="B59" s="1419">
        <v>47.24</v>
      </c>
      <c r="C59" s="1420">
        <v>47.24</v>
      </c>
      <c r="D59" s="1376">
        <v>47.24</v>
      </c>
      <c r="E59" s="1420">
        <v>47.24</v>
      </c>
      <c r="F59" s="1376"/>
      <c r="G59" s="1420">
        <v>54.18</v>
      </c>
      <c r="H59" s="1376">
        <v>31.79</v>
      </c>
      <c r="I59" s="1420">
        <v>47.24</v>
      </c>
      <c r="J59" s="1376">
        <v>47.24</v>
      </c>
      <c r="K59" s="1420">
        <v>47.242424242424242</v>
      </c>
      <c r="L59" s="1419">
        <v>47.24</v>
      </c>
      <c r="M59" s="129">
        <f t="shared" si="1"/>
        <v>44</v>
      </c>
      <c r="N59" s="1421">
        <v>47.24</v>
      </c>
      <c r="O59" s="1422">
        <v>45.99</v>
      </c>
      <c r="P59" s="1376">
        <v>47.24</v>
      </c>
      <c r="Q59" s="1420">
        <v>47.24</v>
      </c>
      <c r="R59" s="1381"/>
      <c r="S59" s="1420">
        <v>54.18</v>
      </c>
      <c r="T59" s="1381">
        <v>46</v>
      </c>
      <c r="U59" s="1423">
        <v>46</v>
      </c>
      <c r="V59" s="511"/>
      <c r="W59" s="117"/>
    </row>
    <row r="60" spans="1:23" s="116" customFormat="1">
      <c r="A60" s="129">
        <f t="shared" si="0"/>
        <v>43</v>
      </c>
      <c r="B60" s="1419">
        <v>46.95</v>
      </c>
      <c r="C60" s="1420">
        <v>46.94</v>
      </c>
      <c r="D60" s="1376">
        <v>46.95</v>
      </c>
      <c r="E60" s="1420">
        <v>46.95</v>
      </c>
      <c r="F60" s="1376"/>
      <c r="G60" s="1420">
        <v>53.86</v>
      </c>
      <c r="H60" s="1376">
        <v>31.39</v>
      </c>
      <c r="I60" s="1420">
        <v>46.94</v>
      </c>
      <c r="J60" s="1376">
        <v>46.95</v>
      </c>
      <c r="K60" s="1420">
        <v>46.945454545454545</v>
      </c>
      <c r="L60" s="1419">
        <v>46.95</v>
      </c>
      <c r="M60" s="129">
        <f t="shared" si="1"/>
        <v>43</v>
      </c>
      <c r="N60" s="1421">
        <v>46.95</v>
      </c>
      <c r="O60" s="1422">
        <v>45.78</v>
      </c>
      <c r="P60" s="1376">
        <v>46.95</v>
      </c>
      <c r="Q60" s="1420">
        <v>46.95</v>
      </c>
      <c r="R60" s="1381"/>
      <c r="S60" s="1420">
        <v>53.86</v>
      </c>
      <c r="T60" s="1381">
        <v>45.78</v>
      </c>
      <c r="U60" s="1423">
        <v>45.78</v>
      </c>
      <c r="V60" s="511"/>
      <c r="W60" s="117"/>
    </row>
    <row r="61" spans="1:23" s="116" customFormat="1">
      <c r="A61" s="129">
        <f t="shared" si="0"/>
        <v>42</v>
      </c>
      <c r="B61" s="1419">
        <v>46.65</v>
      </c>
      <c r="C61" s="1420">
        <v>46.64</v>
      </c>
      <c r="D61" s="1376">
        <v>46.65</v>
      </c>
      <c r="E61" s="1420">
        <v>46.65</v>
      </c>
      <c r="F61" s="1376"/>
      <c r="G61" s="1420">
        <v>53.53</v>
      </c>
      <c r="H61" s="1376">
        <v>30.99</v>
      </c>
      <c r="I61" s="1420">
        <v>46.64</v>
      </c>
      <c r="J61" s="1376">
        <v>46.65</v>
      </c>
      <c r="K61" s="1420">
        <v>46.648484848484848</v>
      </c>
      <c r="L61" s="1419">
        <v>46.65</v>
      </c>
      <c r="M61" s="129">
        <f t="shared" si="1"/>
        <v>42</v>
      </c>
      <c r="N61" s="1421">
        <v>46.65</v>
      </c>
      <c r="O61" s="1422">
        <v>45.56</v>
      </c>
      <c r="P61" s="1376">
        <v>46.65</v>
      </c>
      <c r="Q61" s="1420">
        <v>46.65</v>
      </c>
      <c r="R61" s="1381"/>
      <c r="S61" s="1420">
        <v>53.53</v>
      </c>
      <c r="T61" s="1381">
        <v>45.56</v>
      </c>
      <c r="U61" s="1423">
        <v>45.56</v>
      </c>
      <c r="V61" s="511"/>
      <c r="W61" s="117"/>
    </row>
    <row r="62" spans="1:23" s="14" customFormat="1" ht="14.25" thickBot="1">
      <c r="A62" s="132">
        <f t="shared" si="0"/>
        <v>41</v>
      </c>
      <c r="B62" s="1434">
        <v>46.39</v>
      </c>
      <c r="C62" s="1435">
        <v>46.38</v>
      </c>
      <c r="D62" s="1379">
        <v>46.39</v>
      </c>
      <c r="E62" s="1435">
        <v>46.39</v>
      </c>
      <c r="F62" s="1379"/>
      <c r="G62" s="1435">
        <v>53.21</v>
      </c>
      <c r="H62" s="1379">
        <v>30.59</v>
      </c>
      <c r="I62" s="1435">
        <v>46.38</v>
      </c>
      <c r="J62" s="1379">
        <v>46.39</v>
      </c>
      <c r="K62" s="1435">
        <v>46.389393939393933</v>
      </c>
      <c r="L62" s="1434">
        <v>46.39</v>
      </c>
      <c r="M62" s="132">
        <f t="shared" si="1"/>
        <v>41</v>
      </c>
      <c r="N62" s="1436">
        <v>46.39</v>
      </c>
      <c r="O62" s="1437">
        <v>45.34</v>
      </c>
      <c r="P62" s="1379">
        <v>46.39</v>
      </c>
      <c r="Q62" s="1435">
        <v>46.39</v>
      </c>
      <c r="R62" s="1384"/>
      <c r="S62" s="1435">
        <v>53.21</v>
      </c>
      <c r="T62" s="1384">
        <v>45.35</v>
      </c>
      <c r="U62" s="1438">
        <v>45.35</v>
      </c>
      <c r="V62" s="514"/>
      <c r="W62" s="53"/>
    </row>
    <row r="63" spans="1:23" s="18" customFormat="1">
      <c r="A63" s="128">
        <f t="shared" si="0"/>
        <v>40</v>
      </c>
      <c r="B63" s="1414">
        <v>46.11</v>
      </c>
      <c r="C63" s="1415">
        <v>46.11</v>
      </c>
      <c r="D63" s="1375">
        <v>46.11</v>
      </c>
      <c r="E63" s="1415">
        <v>46.11</v>
      </c>
      <c r="F63" s="1375"/>
      <c r="G63" s="1415">
        <v>52.88</v>
      </c>
      <c r="H63" s="1375">
        <v>30.19</v>
      </c>
      <c r="I63" s="1415">
        <v>46.11</v>
      </c>
      <c r="J63" s="1375">
        <v>46.11</v>
      </c>
      <c r="K63" s="1415">
        <v>46.112121212121217</v>
      </c>
      <c r="L63" s="1414">
        <v>46.11</v>
      </c>
      <c r="M63" s="128">
        <f t="shared" si="1"/>
        <v>40</v>
      </c>
      <c r="N63" s="1416">
        <v>46.11</v>
      </c>
      <c r="O63" s="1417">
        <v>45.17</v>
      </c>
      <c r="P63" s="1375">
        <v>46.11</v>
      </c>
      <c r="Q63" s="1415">
        <v>46.11</v>
      </c>
      <c r="R63" s="1380"/>
      <c r="S63" s="1415">
        <v>52.88</v>
      </c>
      <c r="T63" s="1380">
        <v>45.18</v>
      </c>
      <c r="U63" s="1418">
        <v>45.18</v>
      </c>
      <c r="V63" s="510"/>
      <c r="W63" s="54"/>
    </row>
    <row r="64" spans="1:23" s="116" customFormat="1">
      <c r="A64" s="129">
        <f t="shared" si="0"/>
        <v>39</v>
      </c>
      <c r="B64" s="1419">
        <v>45.82</v>
      </c>
      <c r="C64" s="1420">
        <v>45.81</v>
      </c>
      <c r="D64" s="1376">
        <v>45.82</v>
      </c>
      <c r="E64" s="1420">
        <v>45.82</v>
      </c>
      <c r="F64" s="1376"/>
      <c r="G64" s="1420">
        <v>52.56</v>
      </c>
      <c r="H64" s="1376">
        <v>29.79</v>
      </c>
      <c r="I64" s="1420">
        <v>45.81</v>
      </c>
      <c r="J64" s="1376">
        <v>45.82</v>
      </c>
      <c r="K64" s="1420">
        <v>45.81818181818182</v>
      </c>
      <c r="L64" s="1419">
        <v>45.82</v>
      </c>
      <c r="M64" s="129">
        <f t="shared" si="1"/>
        <v>39</v>
      </c>
      <c r="N64" s="1421">
        <v>45.82</v>
      </c>
      <c r="O64" s="1422">
        <v>45</v>
      </c>
      <c r="P64" s="1376">
        <v>45.82</v>
      </c>
      <c r="Q64" s="1420">
        <v>45.82</v>
      </c>
      <c r="R64" s="1381"/>
      <c r="S64" s="1420">
        <v>52.56</v>
      </c>
      <c r="T64" s="1381">
        <v>45</v>
      </c>
      <c r="U64" s="1423">
        <v>45</v>
      </c>
      <c r="V64" s="511"/>
      <c r="W64" s="117"/>
    </row>
    <row r="65" spans="1:23" s="116" customFormat="1">
      <c r="A65" s="129">
        <f t="shared" si="0"/>
        <v>38</v>
      </c>
      <c r="B65" s="1419">
        <v>45.55</v>
      </c>
      <c r="C65" s="1420">
        <v>45.54</v>
      </c>
      <c r="D65" s="1376">
        <v>45.55</v>
      </c>
      <c r="E65" s="1420">
        <v>45.55</v>
      </c>
      <c r="F65" s="1376"/>
      <c r="G65" s="1420">
        <v>52.24</v>
      </c>
      <c r="H65" s="1376">
        <v>29.39</v>
      </c>
      <c r="I65" s="1420">
        <v>45.54</v>
      </c>
      <c r="J65" s="1376">
        <v>45.55</v>
      </c>
      <c r="K65" s="1420">
        <v>45.546969696969697</v>
      </c>
      <c r="L65" s="1419">
        <v>45.55</v>
      </c>
      <c r="M65" s="129">
        <f t="shared" si="1"/>
        <v>38</v>
      </c>
      <c r="N65" s="1421">
        <v>45.55</v>
      </c>
      <c r="O65" s="1422">
        <v>44.81</v>
      </c>
      <c r="P65" s="1376">
        <v>45.55</v>
      </c>
      <c r="Q65" s="1420">
        <v>45.55</v>
      </c>
      <c r="R65" s="1381"/>
      <c r="S65" s="1420">
        <v>52.24</v>
      </c>
      <c r="T65" s="1381">
        <v>44.81</v>
      </c>
      <c r="U65" s="1423">
        <v>44.81</v>
      </c>
      <c r="V65" s="511"/>
      <c r="W65" s="117"/>
    </row>
    <row r="66" spans="1:23" s="116" customFormat="1">
      <c r="A66" s="129">
        <f t="shared" si="0"/>
        <v>37</v>
      </c>
      <c r="B66" s="1419">
        <v>45.28</v>
      </c>
      <c r="C66" s="1420">
        <v>45.28</v>
      </c>
      <c r="D66" s="1376">
        <v>45.28</v>
      </c>
      <c r="E66" s="1420">
        <v>45.28</v>
      </c>
      <c r="F66" s="1376"/>
      <c r="G66" s="1420">
        <v>51.91</v>
      </c>
      <c r="H66" s="1376">
        <v>28.99</v>
      </c>
      <c r="I66" s="1420">
        <v>45.28</v>
      </c>
      <c r="J66" s="1376">
        <v>45.28</v>
      </c>
      <c r="K66" s="1420">
        <v>45.283333333333331</v>
      </c>
      <c r="L66" s="1419">
        <v>45.28</v>
      </c>
      <c r="M66" s="129">
        <f t="shared" si="1"/>
        <v>37</v>
      </c>
      <c r="N66" s="1421">
        <v>45.28</v>
      </c>
      <c r="O66" s="1422">
        <v>44.62</v>
      </c>
      <c r="P66" s="1376">
        <v>45.28</v>
      </c>
      <c r="Q66" s="1420">
        <v>45.28</v>
      </c>
      <c r="R66" s="1381"/>
      <c r="S66" s="1420">
        <v>51.91</v>
      </c>
      <c r="T66" s="1381">
        <v>44.62</v>
      </c>
      <c r="U66" s="1423">
        <v>44.62</v>
      </c>
      <c r="V66" s="511"/>
      <c r="W66" s="117"/>
    </row>
    <row r="67" spans="1:23" s="116" customFormat="1">
      <c r="A67" s="129">
        <f t="shared" si="0"/>
        <v>36</v>
      </c>
      <c r="B67" s="1419">
        <v>45.02</v>
      </c>
      <c r="C67" s="1420">
        <v>45.01</v>
      </c>
      <c r="D67" s="1376">
        <v>45.02</v>
      </c>
      <c r="E67" s="1420">
        <v>45.02</v>
      </c>
      <c r="F67" s="1376"/>
      <c r="G67" s="1420">
        <v>51.59</v>
      </c>
      <c r="H67" s="1376">
        <v>28.59</v>
      </c>
      <c r="I67" s="1420">
        <v>45.01</v>
      </c>
      <c r="J67" s="1376">
        <v>45.02</v>
      </c>
      <c r="K67" s="1420">
        <v>45.015151515151516</v>
      </c>
      <c r="L67" s="1419">
        <v>45.02</v>
      </c>
      <c r="M67" s="129">
        <f t="shared" si="1"/>
        <v>36</v>
      </c>
      <c r="N67" s="1421">
        <v>45.02</v>
      </c>
      <c r="O67" s="1422">
        <v>44.44</v>
      </c>
      <c r="P67" s="1376">
        <v>45.02</v>
      </c>
      <c r="Q67" s="1420">
        <v>45.02</v>
      </c>
      <c r="R67" s="1381"/>
      <c r="S67" s="1420">
        <v>51.59</v>
      </c>
      <c r="T67" s="1381">
        <v>44.45</v>
      </c>
      <c r="U67" s="1423">
        <v>44.45</v>
      </c>
      <c r="V67" s="511"/>
      <c r="W67" s="117"/>
    </row>
    <row r="68" spans="1:23" s="116" customFormat="1">
      <c r="A68" s="129">
        <f t="shared" ref="A68:A103" si="2">103-ROW()</f>
        <v>35</v>
      </c>
      <c r="B68" s="1419">
        <v>44.74</v>
      </c>
      <c r="C68" s="1420">
        <v>44.73</v>
      </c>
      <c r="D68" s="1376">
        <v>44.74</v>
      </c>
      <c r="E68" s="1420">
        <v>44.74</v>
      </c>
      <c r="F68" s="1376"/>
      <c r="G68" s="1420">
        <v>51.26</v>
      </c>
      <c r="H68" s="1376">
        <v>28.19</v>
      </c>
      <c r="I68" s="1420">
        <v>44.73</v>
      </c>
      <c r="J68" s="1376">
        <v>44.74</v>
      </c>
      <c r="K68" s="1420">
        <v>44.739393939393942</v>
      </c>
      <c r="L68" s="1419">
        <v>44.74</v>
      </c>
      <c r="M68" s="129">
        <f t="shared" ref="M68:M103" si="3">103-ROW()</f>
        <v>35</v>
      </c>
      <c r="N68" s="1421">
        <v>44.74</v>
      </c>
      <c r="O68" s="1422">
        <v>44.29</v>
      </c>
      <c r="P68" s="1376">
        <v>44.74</v>
      </c>
      <c r="Q68" s="1420">
        <v>44.74</v>
      </c>
      <c r="R68" s="1381"/>
      <c r="S68" s="1420">
        <v>51.26</v>
      </c>
      <c r="T68" s="1381">
        <v>44.29</v>
      </c>
      <c r="U68" s="1423">
        <v>44.29</v>
      </c>
      <c r="V68" s="511"/>
      <c r="W68" s="117"/>
    </row>
    <row r="69" spans="1:23" s="116" customFormat="1">
      <c r="A69" s="129">
        <f t="shared" si="2"/>
        <v>34</v>
      </c>
      <c r="B69" s="1419">
        <v>44.44</v>
      </c>
      <c r="C69" s="1420">
        <v>44.44</v>
      </c>
      <c r="D69" s="1376">
        <v>44.45</v>
      </c>
      <c r="E69" s="1420">
        <v>44.45</v>
      </c>
      <c r="F69" s="1376"/>
      <c r="G69" s="1420">
        <v>50.94</v>
      </c>
      <c r="H69" s="1376">
        <v>27.79</v>
      </c>
      <c r="I69" s="1420">
        <v>44.44</v>
      </c>
      <c r="J69" s="1376">
        <v>44.44</v>
      </c>
      <c r="K69" s="1420">
        <v>44.445454545454545</v>
      </c>
      <c r="L69" s="1419">
        <v>44.45</v>
      </c>
      <c r="M69" s="129">
        <f t="shared" si="3"/>
        <v>34</v>
      </c>
      <c r="N69" s="1421">
        <v>44.44</v>
      </c>
      <c r="O69" s="1422">
        <v>44.14</v>
      </c>
      <c r="P69" s="1376">
        <v>44.45</v>
      </c>
      <c r="Q69" s="1420">
        <v>44.45</v>
      </c>
      <c r="R69" s="1381"/>
      <c r="S69" s="1420">
        <v>50.94</v>
      </c>
      <c r="T69" s="1381">
        <v>44.14</v>
      </c>
      <c r="U69" s="1423">
        <v>44.14</v>
      </c>
      <c r="V69" s="511"/>
      <c r="W69" s="117"/>
    </row>
    <row r="70" spans="1:23" s="116" customFormat="1">
      <c r="A70" s="129">
        <f t="shared" si="2"/>
        <v>33</v>
      </c>
      <c r="B70" s="1419">
        <v>44.14</v>
      </c>
      <c r="C70" s="1420">
        <v>44.14</v>
      </c>
      <c r="D70" s="1376">
        <v>44.14</v>
      </c>
      <c r="E70" s="1420">
        <v>44.14</v>
      </c>
      <c r="F70" s="1376"/>
      <c r="G70" s="1420">
        <v>50.62</v>
      </c>
      <c r="H70" s="1376">
        <v>27.39</v>
      </c>
      <c r="I70" s="1420">
        <v>44.14</v>
      </c>
      <c r="J70" s="1376">
        <v>44.14</v>
      </c>
      <c r="K70" s="1420">
        <v>44.143939393939391</v>
      </c>
      <c r="L70" s="1419">
        <v>44.14</v>
      </c>
      <c r="M70" s="129">
        <f t="shared" si="3"/>
        <v>33</v>
      </c>
      <c r="N70" s="1421">
        <v>44.14</v>
      </c>
      <c r="O70" s="1422">
        <v>43.98</v>
      </c>
      <c r="P70" s="1376">
        <v>44.14</v>
      </c>
      <c r="Q70" s="1420">
        <v>44.14</v>
      </c>
      <c r="R70" s="1381"/>
      <c r="S70" s="1420">
        <v>50.62</v>
      </c>
      <c r="T70" s="1381">
        <v>43.99</v>
      </c>
      <c r="U70" s="1423">
        <v>43.99</v>
      </c>
      <c r="V70" s="511"/>
      <c r="W70" s="117"/>
    </row>
    <row r="71" spans="1:23" s="116" customFormat="1">
      <c r="A71" s="129">
        <f t="shared" si="2"/>
        <v>32</v>
      </c>
      <c r="B71" s="1419">
        <v>43.91</v>
      </c>
      <c r="C71" s="1420">
        <v>43.9</v>
      </c>
      <c r="D71" s="1376">
        <v>43.91</v>
      </c>
      <c r="E71" s="1420">
        <v>43.91</v>
      </c>
      <c r="F71" s="1376"/>
      <c r="G71" s="1420">
        <v>50.29</v>
      </c>
      <c r="H71" s="1376">
        <v>26.99</v>
      </c>
      <c r="I71" s="1420">
        <v>43.9</v>
      </c>
      <c r="J71" s="1376">
        <v>43.91</v>
      </c>
      <c r="K71" s="1420">
        <v>43.906709956709953</v>
      </c>
      <c r="L71" s="1419">
        <v>43.91</v>
      </c>
      <c r="M71" s="129">
        <f t="shared" si="3"/>
        <v>32</v>
      </c>
      <c r="N71" s="1421">
        <v>43.91</v>
      </c>
      <c r="O71" s="1422">
        <v>43.84</v>
      </c>
      <c r="P71" s="1376">
        <v>43.91</v>
      </c>
      <c r="Q71" s="1420">
        <v>43.91</v>
      </c>
      <c r="R71" s="1381"/>
      <c r="S71" s="1420">
        <v>50.29</v>
      </c>
      <c r="T71" s="1381">
        <v>43.84</v>
      </c>
      <c r="U71" s="1423">
        <v>43.84</v>
      </c>
      <c r="V71" s="511"/>
      <c r="W71" s="117"/>
    </row>
    <row r="72" spans="1:23" s="7" customFormat="1" ht="14.25" thickBot="1">
      <c r="A72" s="130">
        <f t="shared" si="2"/>
        <v>31</v>
      </c>
      <c r="B72" s="1424">
        <v>43.67</v>
      </c>
      <c r="C72" s="1425">
        <v>43.66</v>
      </c>
      <c r="D72" s="1377">
        <v>43.67</v>
      </c>
      <c r="E72" s="1425">
        <v>43.67</v>
      </c>
      <c r="F72" s="1377"/>
      <c r="G72" s="1425">
        <v>49.97</v>
      </c>
      <c r="H72" s="1377">
        <v>26.59</v>
      </c>
      <c r="I72" s="1425">
        <v>43.66</v>
      </c>
      <c r="J72" s="1377">
        <v>43.67</v>
      </c>
      <c r="K72" s="1425">
        <v>43.669480519480516</v>
      </c>
      <c r="L72" s="1424">
        <v>43.67</v>
      </c>
      <c r="M72" s="130">
        <f t="shared" si="3"/>
        <v>31</v>
      </c>
      <c r="N72" s="1426">
        <v>43.67</v>
      </c>
      <c r="O72" s="1427">
        <v>43.67</v>
      </c>
      <c r="P72" s="1377">
        <v>43.67</v>
      </c>
      <c r="Q72" s="1425">
        <v>43.67</v>
      </c>
      <c r="R72" s="1382"/>
      <c r="S72" s="1425">
        <v>49.97</v>
      </c>
      <c r="T72" s="1382">
        <v>43.68</v>
      </c>
      <c r="U72" s="1428">
        <v>43.68</v>
      </c>
      <c r="V72" s="512"/>
      <c r="W72" s="55"/>
    </row>
    <row r="73" spans="1:23" s="17" customFormat="1">
      <c r="A73" s="131">
        <f t="shared" si="2"/>
        <v>30</v>
      </c>
      <c r="B73" s="1429">
        <v>43.44</v>
      </c>
      <c r="C73" s="1430">
        <v>43.43</v>
      </c>
      <c r="D73" s="1378">
        <v>43.44</v>
      </c>
      <c r="E73" s="1430">
        <v>43.44</v>
      </c>
      <c r="F73" s="1378"/>
      <c r="G73" s="1430">
        <v>49.64</v>
      </c>
      <c r="H73" s="1378">
        <v>26.19</v>
      </c>
      <c r="I73" s="1430">
        <v>43.43</v>
      </c>
      <c r="J73" s="1378">
        <v>43.44</v>
      </c>
      <c r="K73" s="1430">
        <v>43.435281385281385</v>
      </c>
      <c r="L73" s="1429">
        <v>43.44</v>
      </c>
      <c r="M73" s="131">
        <f t="shared" si="3"/>
        <v>30</v>
      </c>
      <c r="N73" s="1431">
        <v>43.44</v>
      </c>
      <c r="O73" s="1432">
        <v>43.51</v>
      </c>
      <c r="P73" s="1378">
        <v>43.44</v>
      </c>
      <c r="Q73" s="1430">
        <v>43.44</v>
      </c>
      <c r="R73" s="1383"/>
      <c r="S73" s="1430">
        <v>49.64</v>
      </c>
      <c r="T73" s="1383">
        <v>43.51</v>
      </c>
      <c r="U73" s="1433">
        <v>43.51</v>
      </c>
      <c r="V73" s="513"/>
      <c r="W73" s="56"/>
    </row>
    <row r="74" spans="1:23" s="116" customFormat="1">
      <c r="A74" s="129">
        <f t="shared" si="2"/>
        <v>29</v>
      </c>
      <c r="B74" s="1419">
        <v>43.17</v>
      </c>
      <c r="C74" s="1420">
        <v>43.17</v>
      </c>
      <c r="D74" s="1376">
        <v>43.17</v>
      </c>
      <c r="E74" s="1420">
        <v>43.17</v>
      </c>
      <c r="F74" s="1376"/>
      <c r="G74" s="1420">
        <v>49.32</v>
      </c>
      <c r="H74" s="1376">
        <v>25.79</v>
      </c>
      <c r="I74" s="1420">
        <v>43.17</v>
      </c>
      <c r="J74" s="1376">
        <v>43.17</v>
      </c>
      <c r="K74" s="1420">
        <v>43.173809523809524</v>
      </c>
      <c r="L74" s="1419">
        <v>43.17</v>
      </c>
      <c r="M74" s="129">
        <f t="shared" si="3"/>
        <v>29</v>
      </c>
      <c r="N74" s="1421">
        <v>43.17</v>
      </c>
      <c r="O74" s="1422">
        <v>43.32</v>
      </c>
      <c r="P74" s="1376">
        <v>43.17</v>
      </c>
      <c r="Q74" s="1420">
        <v>43.17</v>
      </c>
      <c r="R74" s="1381"/>
      <c r="S74" s="1420">
        <v>49.32</v>
      </c>
      <c r="T74" s="1381">
        <v>43.32</v>
      </c>
      <c r="U74" s="1423">
        <v>43.32</v>
      </c>
      <c r="V74" s="511"/>
      <c r="W74" s="117"/>
    </row>
    <row r="75" spans="1:23" s="116" customFormat="1">
      <c r="A75" s="129">
        <f t="shared" si="2"/>
        <v>28</v>
      </c>
      <c r="B75" s="1419">
        <v>42.88</v>
      </c>
      <c r="C75" s="1420">
        <v>42.88</v>
      </c>
      <c r="D75" s="1376">
        <v>42.88</v>
      </c>
      <c r="E75" s="1420">
        <v>42.88</v>
      </c>
      <c r="F75" s="1376"/>
      <c r="G75" s="1420">
        <v>49</v>
      </c>
      <c r="H75" s="1376">
        <v>25.39</v>
      </c>
      <c r="I75" s="1420">
        <v>42.88</v>
      </c>
      <c r="J75" s="1376">
        <v>42.88</v>
      </c>
      <c r="K75" s="1420">
        <v>42.882034632034632</v>
      </c>
      <c r="L75" s="1419">
        <v>42.88</v>
      </c>
      <c r="M75" s="129">
        <f t="shared" si="3"/>
        <v>28</v>
      </c>
      <c r="N75" s="1421">
        <v>42.88</v>
      </c>
      <c r="O75" s="1422">
        <v>43.13</v>
      </c>
      <c r="P75" s="1376">
        <v>42.88</v>
      </c>
      <c r="Q75" s="1420">
        <v>42.88</v>
      </c>
      <c r="R75" s="1381"/>
      <c r="S75" s="1420">
        <v>49</v>
      </c>
      <c r="T75" s="1381">
        <v>43.13</v>
      </c>
      <c r="U75" s="1423">
        <v>43.13</v>
      </c>
      <c r="V75" s="511"/>
      <c r="W75" s="117"/>
    </row>
    <row r="76" spans="1:23" s="116" customFormat="1">
      <c r="A76" s="129">
        <f t="shared" si="2"/>
        <v>27</v>
      </c>
      <c r="B76" s="1419">
        <v>42.6</v>
      </c>
      <c r="C76" s="1420">
        <v>42.6</v>
      </c>
      <c r="D76" s="1376">
        <v>42.6</v>
      </c>
      <c r="E76" s="1420">
        <v>42.6</v>
      </c>
      <c r="F76" s="1376"/>
      <c r="G76" s="1420">
        <v>48.67</v>
      </c>
      <c r="H76" s="1376">
        <v>24.99</v>
      </c>
      <c r="I76" s="1420">
        <v>42.6</v>
      </c>
      <c r="J76" s="1376">
        <v>42.6</v>
      </c>
      <c r="K76" s="1420">
        <v>42.603896103896105</v>
      </c>
      <c r="L76" s="1419">
        <v>42.6</v>
      </c>
      <c r="M76" s="129">
        <f t="shared" si="3"/>
        <v>27</v>
      </c>
      <c r="N76" s="1421">
        <v>42.6</v>
      </c>
      <c r="O76" s="1422">
        <v>42.93</v>
      </c>
      <c r="P76" s="1376">
        <v>42.6</v>
      </c>
      <c r="Q76" s="1420">
        <v>42.6</v>
      </c>
      <c r="R76" s="1381"/>
      <c r="S76" s="1420">
        <v>48.67</v>
      </c>
      <c r="T76" s="1381">
        <v>42.93</v>
      </c>
      <c r="U76" s="1423">
        <v>42.93</v>
      </c>
      <c r="V76" s="511"/>
      <c r="W76" s="117"/>
    </row>
    <row r="77" spans="1:23" s="116" customFormat="1">
      <c r="A77" s="129">
        <f t="shared" si="2"/>
        <v>26</v>
      </c>
      <c r="B77" s="1419">
        <v>42.32</v>
      </c>
      <c r="C77" s="1420">
        <v>42.31</v>
      </c>
      <c r="D77" s="1376">
        <v>42.32</v>
      </c>
      <c r="E77" s="1420">
        <v>42.32</v>
      </c>
      <c r="F77" s="1376"/>
      <c r="G77" s="1420">
        <v>48.35</v>
      </c>
      <c r="H77" s="1376">
        <v>24.59</v>
      </c>
      <c r="I77" s="1420">
        <v>42.31</v>
      </c>
      <c r="J77" s="1376">
        <v>42.32</v>
      </c>
      <c r="K77" s="1420">
        <v>42.31818181818182</v>
      </c>
      <c r="L77" s="1419">
        <v>42.32</v>
      </c>
      <c r="M77" s="129">
        <f t="shared" si="3"/>
        <v>26</v>
      </c>
      <c r="N77" s="1421">
        <v>42.32</v>
      </c>
      <c r="O77" s="1422">
        <v>42.74</v>
      </c>
      <c r="P77" s="1376">
        <v>42.32</v>
      </c>
      <c r="Q77" s="1420">
        <v>42.32</v>
      </c>
      <c r="R77" s="1381"/>
      <c r="S77" s="1420">
        <v>48.35</v>
      </c>
      <c r="T77" s="1381">
        <v>42.74</v>
      </c>
      <c r="U77" s="1423">
        <v>42.74</v>
      </c>
      <c r="V77" s="511"/>
      <c r="W77" s="117"/>
    </row>
    <row r="78" spans="1:23" s="116" customFormat="1">
      <c r="A78" s="129">
        <f t="shared" si="2"/>
        <v>25</v>
      </c>
      <c r="B78" s="1419">
        <v>42.02</v>
      </c>
      <c r="C78" s="1420">
        <v>42.02</v>
      </c>
      <c r="D78" s="1376">
        <v>42.02</v>
      </c>
      <c r="E78" s="1420">
        <v>42.02</v>
      </c>
      <c r="F78" s="1376"/>
      <c r="G78" s="1420">
        <v>48.02</v>
      </c>
      <c r="H78" s="1376">
        <v>24.19</v>
      </c>
      <c r="I78" s="1420">
        <v>42.02</v>
      </c>
      <c r="J78" s="1376">
        <v>42.02</v>
      </c>
      <c r="K78" s="1420">
        <v>42.022727272727273</v>
      </c>
      <c r="L78" s="1419">
        <v>42.02</v>
      </c>
      <c r="M78" s="129">
        <f t="shared" si="3"/>
        <v>25</v>
      </c>
      <c r="N78" s="1421">
        <v>42.02</v>
      </c>
      <c r="O78" s="1422">
        <v>42.54</v>
      </c>
      <c r="P78" s="1376">
        <v>42.02</v>
      </c>
      <c r="Q78" s="1420">
        <v>42.02</v>
      </c>
      <c r="R78" s="1381"/>
      <c r="S78" s="1420">
        <v>48.02</v>
      </c>
      <c r="T78" s="1381">
        <v>42.55</v>
      </c>
      <c r="U78" s="1423">
        <v>42.55</v>
      </c>
      <c r="V78" s="511"/>
      <c r="W78" s="117"/>
    </row>
    <row r="79" spans="1:23" s="116" customFormat="1">
      <c r="A79" s="129">
        <f t="shared" si="2"/>
        <v>24</v>
      </c>
      <c r="B79" s="1419">
        <v>41.73</v>
      </c>
      <c r="C79" s="1420">
        <v>41.72</v>
      </c>
      <c r="D79" s="1376">
        <v>41.73</v>
      </c>
      <c r="E79" s="1420">
        <v>41.73</v>
      </c>
      <c r="F79" s="1376"/>
      <c r="G79" s="1420">
        <v>47.7</v>
      </c>
      <c r="H79" s="1376">
        <v>23.790000000000099</v>
      </c>
      <c r="I79" s="1420">
        <v>41.72</v>
      </c>
      <c r="J79" s="1376">
        <v>41.73</v>
      </c>
      <c r="K79" s="1420">
        <v>41.727272727272727</v>
      </c>
      <c r="L79" s="1419">
        <v>41.73</v>
      </c>
      <c r="M79" s="129">
        <f t="shared" si="3"/>
        <v>24</v>
      </c>
      <c r="N79" s="1421">
        <v>41.73</v>
      </c>
      <c r="O79" s="1422">
        <v>42.35</v>
      </c>
      <c r="P79" s="1376">
        <v>41.73</v>
      </c>
      <c r="Q79" s="1420">
        <v>41.73</v>
      </c>
      <c r="R79" s="1381"/>
      <c r="S79" s="1420">
        <v>47.7</v>
      </c>
      <c r="T79" s="1381">
        <v>42.36</v>
      </c>
      <c r="U79" s="1423">
        <v>42.36</v>
      </c>
      <c r="V79" s="511"/>
      <c r="W79" s="117"/>
    </row>
    <row r="80" spans="1:23" s="116" customFormat="1">
      <c r="A80" s="129">
        <f t="shared" si="2"/>
        <v>23</v>
      </c>
      <c r="B80" s="1419">
        <v>41.43</v>
      </c>
      <c r="C80" s="1420">
        <v>41.42</v>
      </c>
      <c r="D80" s="1376">
        <v>41.43</v>
      </c>
      <c r="E80" s="1420">
        <v>41.43</v>
      </c>
      <c r="F80" s="1376"/>
      <c r="G80" s="1420">
        <v>47.38</v>
      </c>
      <c r="H80" s="1376">
        <v>23.3900000000001</v>
      </c>
      <c r="I80" s="1420">
        <v>41.42</v>
      </c>
      <c r="J80" s="1376">
        <v>41.43</v>
      </c>
      <c r="K80" s="1420">
        <v>41.42878787878788</v>
      </c>
      <c r="L80" s="1419">
        <v>41.43</v>
      </c>
      <c r="M80" s="129">
        <f t="shared" si="3"/>
        <v>23</v>
      </c>
      <c r="N80" s="1421">
        <v>41.43</v>
      </c>
      <c r="O80" s="1422">
        <v>42.17</v>
      </c>
      <c r="P80" s="1376">
        <v>41.43</v>
      </c>
      <c r="Q80" s="1420">
        <v>41.43</v>
      </c>
      <c r="R80" s="1381"/>
      <c r="S80" s="1420">
        <v>47.38</v>
      </c>
      <c r="T80" s="1381">
        <v>42.18</v>
      </c>
      <c r="U80" s="1423">
        <v>42.18</v>
      </c>
      <c r="V80" s="511"/>
      <c r="W80" s="117"/>
    </row>
    <row r="81" spans="1:23" s="116" customFormat="1">
      <c r="A81" s="129">
        <f t="shared" si="2"/>
        <v>22</v>
      </c>
      <c r="B81" s="1419">
        <v>41.13</v>
      </c>
      <c r="C81" s="1420">
        <v>41.12</v>
      </c>
      <c r="D81" s="1376">
        <v>41.13</v>
      </c>
      <c r="E81" s="1420">
        <v>41.13</v>
      </c>
      <c r="F81" s="1376"/>
      <c r="G81" s="1420">
        <v>47.05</v>
      </c>
      <c r="H81" s="1376">
        <v>22.990000000000101</v>
      </c>
      <c r="I81" s="1420">
        <v>41.12</v>
      </c>
      <c r="J81" s="1376">
        <v>41.13</v>
      </c>
      <c r="K81" s="1420">
        <v>41.127272727272725</v>
      </c>
      <c r="L81" s="1419">
        <v>41.13</v>
      </c>
      <c r="M81" s="129">
        <f t="shared" si="3"/>
        <v>22</v>
      </c>
      <c r="N81" s="1421">
        <v>41.13</v>
      </c>
      <c r="O81" s="1422">
        <v>41.99</v>
      </c>
      <c r="P81" s="1376">
        <v>41.13</v>
      </c>
      <c r="Q81" s="1420">
        <v>41.13</v>
      </c>
      <c r="R81" s="1381"/>
      <c r="S81" s="1420">
        <v>47.05</v>
      </c>
      <c r="T81" s="1381">
        <v>41.99</v>
      </c>
      <c r="U81" s="1423">
        <v>41.99</v>
      </c>
      <c r="V81" s="511"/>
      <c r="W81" s="117"/>
    </row>
    <row r="82" spans="1:23" s="14" customFormat="1" ht="14.25" thickBot="1">
      <c r="A82" s="132">
        <f t="shared" si="2"/>
        <v>21</v>
      </c>
      <c r="B82" s="1434">
        <v>40.81</v>
      </c>
      <c r="C82" s="1435">
        <v>40.81</v>
      </c>
      <c r="D82" s="1379">
        <v>40.81</v>
      </c>
      <c r="E82" s="1435">
        <v>40.81</v>
      </c>
      <c r="F82" s="1379"/>
      <c r="G82" s="1435">
        <v>46.73</v>
      </c>
      <c r="H82" s="1379">
        <v>22.590000000000099</v>
      </c>
      <c r="I82" s="1435">
        <v>40.81</v>
      </c>
      <c r="J82" s="1379">
        <v>40.81</v>
      </c>
      <c r="K82" s="1435">
        <v>40.810606060606062</v>
      </c>
      <c r="L82" s="1434">
        <v>40.81</v>
      </c>
      <c r="M82" s="132">
        <f t="shared" si="3"/>
        <v>21</v>
      </c>
      <c r="N82" s="1436">
        <v>40.81</v>
      </c>
      <c r="O82" s="1437">
        <v>41.8</v>
      </c>
      <c r="P82" s="1379">
        <v>40.81</v>
      </c>
      <c r="Q82" s="1435">
        <v>40.81</v>
      </c>
      <c r="R82" s="1384"/>
      <c r="S82" s="1435">
        <v>46.73</v>
      </c>
      <c r="T82" s="1384">
        <v>41.81</v>
      </c>
      <c r="U82" s="1438">
        <v>41.81</v>
      </c>
      <c r="V82" s="514"/>
      <c r="W82" s="53"/>
    </row>
    <row r="83" spans="1:23" s="18" customFormat="1">
      <c r="A83" s="128">
        <f t="shared" si="2"/>
        <v>20</v>
      </c>
      <c r="B83" s="1414">
        <v>40.5</v>
      </c>
      <c r="C83" s="1415">
        <v>40.5</v>
      </c>
      <c r="D83" s="1375">
        <v>40.5</v>
      </c>
      <c r="E83" s="1415">
        <v>40.5</v>
      </c>
      <c r="F83" s="1375"/>
      <c r="G83" s="1415">
        <v>46.4</v>
      </c>
      <c r="H83" s="1375">
        <v>22.190000000000101</v>
      </c>
      <c r="I83" s="1415">
        <v>40.5</v>
      </c>
      <c r="J83" s="1375">
        <v>40.5</v>
      </c>
      <c r="K83" s="1415">
        <v>40.50151515151515</v>
      </c>
      <c r="L83" s="1414">
        <v>40.5</v>
      </c>
      <c r="M83" s="128">
        <f t="shared" si="3"/>
        <v>20</v>
      </c>
      <c r="N83" s="1416">
        <v>40.5</v>
      </c>
      <c r="O83" s="1417">
        <v>41.62</v>
      </c>
      <c r="P83" s="1375">
        <v>40.5</v>
      </c>
      <c r="Q83" s="1415">
        <v>40.5</v>
      </c>
      <c r="R83" s="1380"/>
      <c r="S83" s="1415">
        <v>46.4</v>
      </c>
      <c r="T83" s="1380">
        <v>41.63</v>
      </c>
      <c r="U83" s="1418">
        <v>41.62</v>
      </c>
      <c r="V83" s="510"/>
      <c r="W83" s="54"/>
    </row>
    <row r="84" spans="1:23" s="116" customFormat="1">
      <c r="A84" s="129">
        <f t="shared" si="2"/>
        <v>19</v>
      </c>
      <c r="B84" s="1419">
        <v>40.22</v>
      </c>
      <c r="C84" s="1420">
        <v>40.22</v>
      </c>
      <c r="D84" s="1376">
        <v>40.22</v>
      </c>
      <c r="E84" s="1420">
        <v>40.22</v>
      </c>
      <c r="F84" s="1376"/>
      <c r="G84" s="1420">
        <v>46.08</v>
      </c>
      <c r="H84" s="1376">
        <v>21.790000000000099</v>
      </c>
      <c r="I84" s="1420">
        <v>40.22</v>
      </c>
      <c r="J84" s="1376">
        <v>40.22</v>
      </c>
      <c r="K84" s="1420">
        <v>40.222727272727269</v>
      </c>
      <c r="L84" s="1419">
        <v>40.22</v>
      </c>
      <c r="M84" s="129">
        <f t="shared" si="3"/>
        <v>19</v>
      </c>
      <c r="N84" s="1421">
        <v>40.22</v>
      </c>
      <c r="O84" s="1422">
        <v>41.43</v>
      </c>
      <c r="P84" s="1376">
        <v>40.22</v>
      </c>
      <c r="Q84" s="1420">
        <v>40.22</v>
      </c>
      <c r="R84" s="1381"/>
      <c r="S84" s="1420">
        <v>46.08</v>
      </c>
      <c r="T84" s="1381">
        <v>41.44</v>
      </c>
      <c r="U84" s="1423">
        <v>41.44</v>
      </c>
      <c r="V84" s="511"/>
      <c r="W84" s="117"/>
    </row>
    <row r="85" spans="1:23" s="116" customFormat="1">
      <c r="A85" s="129">
        <f t="shared" si="2"/>
        <v>18</v>
      </c>
      <c r="B85" s="1419">
        <v>39.94</v>
      </c>
      <c r="C85" s="1420">
        <v>39.93</v>
      </c>
      <c r="D85" s="1376">
        <v>39.94</v>
      </c>
      <c r="E85" s="1420">
        <v>39.94</v>
      </c>
      <c r="F85" s="1376"/>
      <c r="G85" s="1420">
        <v>45.76</v>
      </c>
      <c r="H85" s="1376">
        <v>21.3900000000001</v>
      </c>
      <c r="I85" s="1420">
        <v>39.93</v>
      </c>
      <c r="J85" s="1376">
        <v>39.94</v>
      </c>
      <c r="K85" s="1420">
        <v>39.939393939393938</v>
      </c>
      <c r="L85" s="1419">
        <v>39.94</v>
      </c>
      <c r="M85" s="129">
        <f t="shared" si="3"/>
        <v>18</v>
      </c>
      <c r="N85" s="1421">
        <v>39.94</v>
      </c>
      <c r="O85" s="1422">
        <v>41.25</v>
      </c>
      <c r="P85" s="1376">
        <v>39.94</v>
      </c>
      <c r="Q85" s="1420">
        <v>39.94</v>
      </c>
      <c r="R85" s="1381"/>
      <c r="S85" s="1420">
        <v>45.76</v>
      </c>
      <c r="T85" s="1381">
        <v>41.25</v>
      </c>
      <c r="U85" s="1423">
        <v>41.25</v>
      </c>
      <c r="V85" s="511"/>
      <c r="W85" s="117"/>
    </row>
    <row r="86" spans="1:23" s="116" customFormat="1">
      <c r="A86" s="129">
        <f t="shared" si="2"/>
        <v>17</v>
      </c>
      <c r="B86" s="1419">
        <v>39.659999999999997</v>
      </c>
      <c r="C86" s="1420">
        <v>39.65</v>
      </c>
      <c r="D86" s="1376">
        <v>39.65</v>
      </c>
      <c r="E86" s="1420">
        <v>39.659999999999997</v>
      </c>
      <c r="F86" s="1376"/>
      <c r="G86" s="1420">
        <v>45.43</v>
      </c>
      <c r="H86" s="1376">
        <v>20.990000000000101</v>
      </c>
      <c r="I86" s="1420">
        <v>39.65</v>
      </c>
      <c r="J86" s="1376">
        <v>39.659999999999997</v>
      </c>
      <c r="K86" s="1420">
        <v>39.659090909090907</v>
      </c>
      <c r="L86" s="1419">
        <v>39.659999999999997</v>
      </c>
      <c r="M86" s="129">
        <f t="shared" si="3"/>
        <v>17</v>
      </c>
      <c r="N86" s="1421">
        <v>39.659999999999997</v>
      </c>
      <c r="O86" s="1422">
        <v>41.05</v>
      </c>
      <c r="P86" s="1376">
        <v>39.65</v>
      </c>
      <c r="Q86" s="1420">
        <v>39.659999999999997</v>
      </c>
      <c r="R86" s="1381"/>
      <c r="S86" s="1420">
        <v>45.43</v>
      </c>
      <c r="T86" s="1381">
        <v>41.06</v>
      </c>
      <c r="U86" s="1423">
        <v>41.06</v>
      </c>
      <c r="V86" s="511"/>
      <c r="W86" s="117"/>
    </row>
    <row r="87" spans="1:23" s="116" customFormat="1">
      <c r="A87" s="129">
        <f t="shared" si="2"/>
        <v>16</v>
      </c>
      <c r="B87" s="1419">
        <v>39.380000000000003</v>
      </c>
      <c r="C87" s="1420">
        <v>39.369999999999997</v>
      </c>
      <c r="D87" s="1376">
        <v>39.369999999999997</v>
      </c>
      <c r="E87" s="1420">
        <v>39.380000000000003</v>
      </c>
      <c r="F87" s="1376"/>
      <c r="G87" s="1420">
        <v>45.11</v>
      </c>
      <c r="H87" s="1376">
        <v>20.590000000000099</v>
      </c>
      <c r="I87" s="1420">
        <v>39.369999999999997</v>
      </c>
      <c r="J87" s="1376">
        <v>39.380000000000003</v>
      </c>
      <c r="K87" s="1420">
        <v>39.378787878787882</v>
      </c>
      <c r="L87" s="1419">
        <v>39.380000000000003</v>
      </c>
      <c r="M87" s="129">
        <f t="shared" si="3"/>
        <v>16</v>
      </c>
      <c r="N87" s="1421">
        <v>39.380000000000003</v>
      </c>
      <c r="O87" s="1422">
        <v>40.85</v>
      </c>
      <c r="P87" s="1376">
        <v>39.369999999999997</v>
      </c>
      <c r="Q87" s="1420">
        <v>39.380000000000003</v>
      </c>
      <c r="R87" s="1381"/>
      <c r="S87" s="1420">
        <v>45.11</v>
      </c>
      <c r="T87" s="1381">
        <v>40.86</v>
      </c>
      <c r="U87" s="1423">
        <v>40.86</v>
      </c>
      <c r="V87" s="511"/>
      <c r="W87" s="117"/>
    </row>
    <row r="88" spans="1:23" s="116" customFormat="1">
      <c r="A88" s="129">
        <f t="shared" si="2"/>
        <v>15</v>
      </c>
      <c r="B88" s="1419">
        <v>39.11</v>
      </c>
      <c r="C88" s="1420">
        <v>39.11</v>
      </c>
      <c r="D88" s="1376">
        <v>39.1</v>
      </c>
      <c r="E88" s="1420">
        <v>39.11</v>
      </c>
      <c r="F88" s="1376"/>
      <c r="G88" s="1420">
        <v>44.78</v>
      </c>
      <c r="H88" s="1376">
        <v>20.190000000000101</v>
      </c>
      <c r="I88" s="1420">
        <v>39.11</v>
      </c>
      <c r="J88" s="1376">
        <v>39.11</v>
      </c>
      <c r="K88" s="1420">
        <v>39.113636363636367</v>
      </c>
      <c r="L88" s="1419">
        <v>39.11</v>
      </c>
      <c r="M88" s="129">
        <f t="shared" si="3"/>
        <v>15</v>
      </c>
      <c r="N88" s="1421">
        <v>39.11</v>
      </c>
      <c r="O88" s="1422">
        <v>40.65</v>
      </c>
      <c r="P88" s="1376">
        <v>39.1</v>
      </c>
      <c r="Q88" s="1420">
        <v>39.11</v>
      </c>
      <c r="R88" s="1381"/>
      <c r="S88" s="1420">
        <v>44.78</v>
      </c>
      <c r="T88" s="1381">
        <v>40.659999999999997</v>
      </c>
      <c r="U88" s="1423">
        <v>40.659999999999997</v>
      </c>
      <c r="V88" s="511"/>
      <c r="W88" s="117"/>
    </row>
    <row r="89" spans="1:23" s="116" customFormat="1">
      <c r="A89" s="129">
        <f t="shared" si="2"/>
        <v>14</v>
      </c>
      <c r="B89" s="1419">
        <v>38.83</v>
      </c>
      <c r="C89" s="1420">
        <v>38.82</v>
      </c>
      <c r="D89" s="1376">
        <v>38.82</v>
      </c>
      <c r="E89" s="1420">
        <v>38.83</v>
      </c>
      <c r="F89" s="1376"/>
      <c r="G89" s="1420">
        <v>44.46</v>
      </c>
      <c r="H89" s="1376">
        <v>19.790000000000099</v>
      </c>
      <c r="I89" s="1420">
        <v>38.82</v>
      </c>
      <c r="J89" s="1376">
        <v>38.83</v>
      </c>
      <c r="K89" s="1420">
        <v>38.825757575757571</v>
      </c>
      <c r="L89" s="1419">
        <v>38.83</v>
      </c>
      <c r="M89" s="129">
        <f t="shared" si="3"/>
        <v>14</v>
      </c>
      <c r="N89" s="1421">
        <v>38.83</v>
      </c>
      <c r="O89" s="1422">
        <v>40.44</v>
      </c>
      <c r="P89" s="1376">
        <v>38.82</v>
      </c>
      <c r="Q89" s="1420">
        <v>38.83</v>
      </c>
      <c r="R89" s="1381"/>
      <c r="S89" s="1420">
        <v>44.46</v>
      </c>
      <c r="T89" s="1381">
        <v>40.450000000000003</v>
      </c>
      <c r="U89" s="1423">
        <v>40.450000000000003</v>
      </c>
      <c r="V89" s="511"/>
      <c r="W89" s="117"/>
    </row>
    <row r="90" spans="1:23" s="116" customFormat="1">
      <c r="A90" s="129">
        <f t="shared" si="2"/>
        <v>13</v>
      </c>
      <c r="B90" s="1419">
        <v>38.51</v>
      </c>
      <c r="C90" s="1420">
        <v>38.5</v>
      </c>
      <c r="D90" s="1376">
        <v>38.51</v>
      </c>
      <c r="E90" s="1420">
        <v>38.51</v>
      </c>
      <c r="F90" s="1376"/>
      <c r="G90" s="1420">
        <v>44.14</v>
      </c>
      <c r="H90" s="1376">
        <v>19.3900000000001</v>
      </c>
      <c r="I90" s="1420">
        <v>38.5</v>
      </c>
      <c r="J90" s="1376">
        <v>38.51</v>
      </c>
      <c r="K90" s="1420">
        <v>38.507575757575758</v>
      </c>
      <c r="L90" s="1419">
        <v>38.51</v>
      </c>
      <c r="M90" s="129">
        <f t="shared" si="3"/>
        <v>13</v>
      </c>
      <c r="N90" s="1421">
        <v>38.51</v>
      </c>
      <c r="O90" s="1422">
        <v>40.22</v>
      </c>
      <c r="P90" s="1376">
        <v>38.51</v>
      </c>
      <c r="Q90" s="1420">
        <v>38.51</v>
      </c>
      <c r="R90" s="1381"/>
      <c r="S90" s="1420">
        <v>44.14</v>
      </c>
      <c r="T90" s="1381">
        <v>40.22</v>
      </c>
      <c r="U90" s="1423">
        <v>40.22</v>
      </c>
      <c r="V90" s="511"/>
      <c r="W90" s="117"/>
    </row>
    <row r="91" spans="1:23" s="116" customFormat="1">
      <c r="A91" s="129">
        <f t="shared" si="2"/>
        <v>12</v>
      </c>
      <c r="B91" s="1419">
        <v>38.15</v>
      </c>
      <c r="C91" s="1420">
        <v>38.15</v>
      </c>
      <c r="D91" s="1376">
        <v>38.15</v>
      </c>
      <c r="E91" s="1420">
        <v>38.15</v>
      </c>
      <c r="F91" s="1376"/>
      <c r="G91" s="1420">
        <v>43.81</v>
      </c>
      <c r="H91" s="1376">
        <v>18.990000000000101</v>
      </c>
      <c r="I91" s="1420">
        <v>38.15</v>
      </c>
      <c r="J91" s="1376">
        <v>38.15</v>
      </c>
      <c r="K91" s="1420">
        <v>38.151515151515156</v>
      </c>
      <c r="L91" s="1419">
        <v>38.15</v>
      </c>
      <c r="M91" s="129">
        <f t="shared" si="3"/>
        <v>12</v>
      </c>
      <c r="N91" s="1421">
        <v>38.15</v>
      </c>
      <c r="O91" s="1422">
        <v>39.97</v>
      </c>
      <c r="P91" s="1376">
        <v>38.15</v>
      </c>
      <c r="Q91" s="1420">
        <v>38.15</v>
      </c>
      <c r="R91" s="1381"/>
      <c r="S91" s="1420">
        <v>43.81</v>
      </c>
      <c r="T91" s="1381">
        <v>39.979999999999997</v>
      </c>
      <c r="U91" s="1423">
        <v>39.97</v>
      </c>
      <c r="V91" s="511"/>
      <c r="W91" s="117"/>
    </row>
    <row r="92" spans="1:23" s="7" customFormat="1" ht="14.25" thickBot="1">
      <c r="A92" s="130">
        <f t="shared" si="2"/>
        <v>11</v>
      </c>
      <c r="B92" s="1424">
        <v>37.72</v>
      </c>
      <c r="C92" s="1425">
        <v>37.71</v>
      </c>
      <c r="D92" s="1377">
        <v>37.72</v>
      </c>
      <c r="E92" s="1425">
        <v>37.72</v>
      </c>
      <c r="F92" s="1377"/>
      <c r="G92" s="1425">
        <v>43.49</v>
      </c>
      <c r="H92" s="1377">
        <v>18.590000000000099</v>
      </c>
      <c r="I92" s="1425">
        <v>37.71</v>
      </c>
      <c r="J92" s="1377">
        <v>37.72</v>
      </c>
      <c r="K92" s="1425">
        <v>37.719696969696969</v>
      </c>
      <c r="L92" s="1424">
        <v>37.72</v>
      </c>
      <c r="M92" s="130">
        <f t="shared" si="3"/>
        <v>11</v>
      </c>
      <c r="N92" s="1426">
        <v>37.72</v>
      </c>
      <c r="O92" s="1427">
        <v>39.72</v>
      </c>
      <c r="P92" s="1377">
        <v>37.72</v>
      </c>
      <c r="Q92" s="1425">
        <v>37.72</v>
      </c>
      <c r="R92" s="1382"/>
      <c r="S92" s="1425">
        <v>43.49</v>
      </c>
      <c r="T92" s="1382">
        <v>39.729999999999997</v>
      </c>
      <c r="U92" s="1428">
        <v>39.729999999999997</v>
      </c>
      <c r="V92" s="512"/>
      <c r="W92" s="55"/>
    </row>
    <row r="93" spans="1:23" s="18" customFormat="1">
      <c r="A93" s="128">
        <f t="shared" si="2"/>
        <v>10</v>
      </c>
      <c r="B93" s="1414">
        <v>37.270000000000003</v>
      </c>
      <c r="C93" s="1415">
        <v>37.270000000000003</v>
      </c>
      <c r="D93" s="1375">
        <v>37.270000000000003</v>
      </c>
      <c r="E93" s="1415">
        <v>37.270000000000003</v>
      </c>
      <c r="F93" s="1375"/>
      <c r="G93" s="1415">
        <v>43.16</v>
      </c>
      <c r="H93" s="1375">
        <v>18.190000000000101</v>
      </c>
      <c r="I93" s="1415">
        <v>37.270000000000003</v>
      </c>
      <c r="J93" s="1375">
        <v>37.270000000000003</v>
      </c>
      <c r="K93" s="1415">
        <v>37.272727272727273</v>
      </c>
      <c r="L93" s="1414">
        <v>37.270000000000003</v>
      </c>
      <c r="M93" s="128">
        <f t="shared" si="3"/>
        <v>10</v>
      </c>
      <c r="N93" s="1416">
        <v>37.270000000000003</v>
      </c>
      <c r="O93" s="1417">
        <v>39.450000000000003</v>
      </c>
      <c r="P93" s="1375">
        <v>37.270000000000003</v>
      </c>
      <c r="Q93" s="1415">
        <v>37.270000000000003</v>
      </c>
      <c r="R93" s="1380"/>
      <c r="S93" s="1415">
        <v>43.16</v>
      </c>
      <c r="T93" s="1380">
        <v>39.46</v>
      </c>
      <c r="U93" s="1418">
        <v>39.46</v>
      </c>
      <c r="V93" s="510"/>
      <c r="W93" s="54"/>
    </row>
    <row r="94" spans="1:23" s="116" customFormat="1">
      <c r="A94" s="129">
        <f t="shared" si="2"/>
        <v>9</v>
      </c>
      <c r="B94" s="1419">
        <v>36.83</v>
      </c>
      <c r="C94" s="1420">
        <v>36.83</v>
      </c>
      <c r="D94" s="1376">
        <v>36.83</v>
      </c>
      <c r="E94" s="1420">
        <v>36.83</v>
      </c>
      <c r="F94" s="1376"/>
      <c r="G94" s="1420">
        <v>42.84</v>
      </c>
      <c r="H94" s="1376">
        <v>17.790000000000099</v>
      </c>
      <c r="I94" s="1420">
        <v>36.83</v>
      </c>
      <c r="J94" s="1376">
        <v>36.83</v>
      </c>
      <c r="K94" s="1420">
        <v>36.833333333333336</v>
      </c>
      <c r="L94" s="1419">
        <v>36.83</v>
      </c>
      <c r="M94" s="129">
        <f t="shared" si="3"/>
        <v>9</v>
      </c>
      <c r="N94" s="1421">
        <v>36.83</v>
      </c>
      <c r="O94" s="1422">
        <v>39.21</v>
      </c>
      <c r="P94" s="1376">
        <v>36.83</v>
      </c>
      <c r="Q94" s="1420">
        <v>36.83</v>
      </c>
      <c r="R94" s="1381"/>
      <c r="S94" s="1420">
        <v>42.84</v>
      </c>
      <c r="T94" s="1381">
        <v>39.22</v>
      </c>
      <c r="U94" s="1423">
        <v>39.22</v>
      </c>
      <c r="V94" s="511"/>
      <c r="W94" s="117"/>
    </row>
    <row r="95" spans="1:23" s="116" customFormat="1">
      <c r="A95" s="129">
        <f t="shared" si="2"/>
        <v>8</v>
      </c>
      <c r="B95" s="1419">
        <v>36.36</v>
      </c>
      <c r="C95" s="1420">
        <v>36.36</v>
      </c>
      <c r="D95" s="1376">
        <v>36.36</v>
      </c>
      <c r="E95" s="1420">
        <v>36.36</v>
      </c>
      <c r="F95" s="1376"/>
      <c r="G95" s="1420">
        <v>42.52</v>
      </c>
      <c r="H95" s="1376">
        <v>17.3900000000001</v>
      </c>
      <c r="I95" s="1420">
        <v>36.36</v>
      </c>
      <c r="J95" s="1376">
        <v>36.36</v>
      </c>
      <c r="K95" s="1420">
        <v>36.363636363636367</v>
      </c>
      <c r="L95" s="1419">
        <v>36.36</v>
      </c>
      <c r="M95" s="129">
        <f t="shared" si="3"/>
        <v>8</v>
      </c>
      <c r="N95" s="1421">
        <v>36.36</v>
      </c>
      <c r="O95" s="1422">
        <v>38.97</v>
      </c>
      <c r="P95" s="1376">
        <v>36.36</v>
      </c>
      <c r="Q95" s="1420">
        <v>36.36</v>
      </c>
      <c r="R95" s="1381"/>
      <c r="S95" s="1420">
        <v>42.52</v>
      </c>
      <c r="T95" s="1381">
        <v>38.979999999999997</v>
      </c>
      <c r="U95" s="1423">
        <v>38.979999999999997</v>
      </c>
      <c r="V95" s="511"/>
      <c r="W95" s="117"/>
    </row>
    <row r="96" spans="1:23" s="116" customFormat="1">
      <c r="A96" s="129">
        <f t="shared" si="2"/>
        <v>7</v>
      </c>
      <c r="B96" s="1419">
        <v>35.950000000000003</v>
      </c>
      <c r="C96" s="1420">
        <v>35.94</v>
      </c>
      <c r="D96" s="1376">
        <v>35.950000000000003</v>
      </c>
      <c r="E96" s="1420">
        <v>35.950000000000003</v>
      </c>
      <c r="F96" s="1376"/>
      <c r="G96" s="1420">
        <v>42.19</v>
      </c>
      <c r="H96" s="1376">
        <v>16.990000000000101</v>
      </c>
      <c r="I96" s="1420">
        <v>35.94</v>
      </c>
      <c r="J96" s="1376">
        <v>35.950000000000003</v>
      </c>
      <c r="K96" s="1420">
        <v>35.946969696969695</v>
      </c>
      <c r="L96" s="1419">
        <v>35.950000000000003</v>
      </c>
      <c r="M96" s="129">
        <f t="shared" si="3"/>
        <v>7</v>
      </c>
      <c r="N96" s="1421">
        <v>35.950000000000003</v>
      </c>
      <c r="O96" s="1422">
        <v>38.729999999999997</v>
      </c>
      <c r="P96" s="1376">
        <v>35.950000000000003</v>
      </c>
      <c r="Q96" s="1420">
        <v>35.950000000000003</v>
      </c>
      <c r="R96" s="1381"/>
      <c r="S96" s="1420">
        <v>42.19</v>
      </c>
      <c r="T96" s="1381">
        <v>38.74</v>
      </c>
      <c r="U96" s="1423">
        <v>38.74</v>
      </c>
      <c r="V96" s="511"/>
      <c r="W96" s="117"/>
    </row>
    <row r="97" spans="1:23" s="116" customFormat="1">
      <c r="A97" s="129">
        <f t="shared" si="2"/>
        <v>6</v>
      </c>
      <c r="B97" s="1419">
        <v>35.54</v>
      </c>
      <c r="C97" s="1420">
        <v>35.54</v>
      </c>
      <c r="D97" s="1376">
        <v>35.549999999999997</v>
      </c>
      <c r="E97" s="1420">
        <v>35.549999999999997</v>
      </c>
      <c r="F97" s="1376"/>
      <c r="G97" s="1420">
        <v>41.87</v>
      </c>
      <c r="H97" s="1376">
        <v>16.590000000000099</v>
      </c>
      <c r="I97" s="1420">
        <v>35.54</v>
      </c>
      <c r="J97" s="1376">
        <v>35.54</v>
      </c>
      <c r="K97" s="1420">
        <v>35.545454545454547</v>
      </c>
      <c r="L97" s="1419">
        <v>35.549999999999997</v>
      </c>
      <c r="M97" s="129">
        <f t="shared" si="3"/>
        <v>6</v>
      </c>
      <c r="N97" s="1421">
        <v>35.54</v>
      </c>
      <c r="O97" s="1422">
        <v>38.44</v>
      </c>
      <c r="P97" s="1376">
        <v>35.549999999999997</v>
      </c>
      <c r="Q97" s="1420">
        <v>35.549999999999997</v>
      </c>
      <c r="R97" s="1381"/>
      <c r="S97" s="1420">
        <v>41.87</v>
      </c>
      <c r="T97" s="1381">
        <v>38.44</v>
      </c>
      <c r="U97" s="1423">
        <v>38.44</v>
      </c>
      <c r="V97" s="511"/>
      <c r="W97" s="117"/>
    </row>
    <row r="98" spans="1:23" s="116" customFormat="1">
      <c r="A98" s="129">
        <f t="shared" si="2"/>
        <v>5</v>
      </c>
      <c r="B98" s="1419">
        <v>35.11</v>
      </c>
      <c r="C98" s="1420">
        <v>35.1</v>
      </c>
      <c r="D98" s="1376">
        <v>35.11</v>
      </c>
      <c r="E98" s="1420">
        <v>35.11</v>
      </c>
      <c r="F98" s="1376"/>
      <c r="G98" s="1420">
        <v>41.54</v>
      </c>
      <c r="H98" s="1376">
        <v>16.190000000000101</v>
      </c>
      <c r="I98" s="1420">
        <v>35.1</v>
      </c>
      <c r="J98" s="1376">
        <v>35.11</v>
      </c>
      <c r="K98" s="1420">
        <v>35.106060606060609</v>
      </c>
      <c r="L98" s="1419">
        <v>35.11</v>
      </c>
      <c r="M98" s="129">
        <f t="shared" si="3"/>
        <v>5</v>
      </c>
      <c r="N98" s="1421">
        <v>35.11</v>
      </c>
      <c r="O98" s="1422">
        <v>38.119999999999997</v>
      </c>
      <c r="P98" s="1376">
        <v>35.11</v>
      </c>
      <c r="Q98" s="1420">
        <v>35.11</v>
      </c>
      <c r="R98" s="1381"/>
      <c r="S98" s="1420">
        <v>41.54</v>
      </c>
      <c r="T98" s="1381">
        <v>38.130000000000003</v>
      </c>
      <c r="U98" s="1423">
        <v>38.130000000000003</v>
      </c>
      <c r="V98" s="511"/>
      <c r="W98" s="117"/>
    </row>
    <row r="99" spans="1:23" s="116" customFormat="1">
      <c r="A99" s="129">
        <f t="shared" si="2"/>
        <v>4</v>
      </c>
      <c r="B99" s="1419">
        <v>34.479999999999997</v>
      </c>
      <c r="C99" s="1420">
        <v>34.479999999999997</v>
      </c>
      <c r="D99" s="1376">
        <v>34.479999999999997</v>
      </c>
      <c r="E99" s="1420">
        <v>34.479999999999997</v>
      </c>
      <c r="F99" s="1376"/>
      <c r="G99" s="1420">
        <v>41.22</v>
      </c>
      <c r="H99" s="1376">
        <v>15.7900000000001</v>
      </c>
      <c r="I99" s="1420">
        <v>34.479999999999997</v>
      </c>
      <c r="J99" s="1376">
        <v>34.479999999999997</v>
      </c>
      <c r="K99" s="1420">
        <v>34.484848484848484</v>
      </c>
      <c r="L99" s="1419">
        <v>34.479999999999997</v>
      </c>
      <c r="M99" s="129">
        <f t="shared" si="3"/>
        <v>4</v>
      </c>
      <c r="N99" s="1421">
        <v>34.479999999999997</v>
      </c>
      <c r="O99" s="1422">
        <v>37.770000000000003</v>
      </c>
      <c r="P99" s="1376">
        <v>34.479999999999997</v>
      </c>
      <c r="Q99" s="1420">
        <v>34.479999999999997</v>
      </c>
      <c r="R99" s="1381"/>
      <c r="S99" s="1420">
        <v>41.22</v>
      </c>
      <c r="T99" s="1381">
        <v>37.770000000000003</v>
      </c>
      <c r="U99" s="1423">
        <v>37.770000000000003</v>
      </c>
      <c r="V99" s="511"/>
      <c r="W99" s="117"/>
    </row>
    <row r="100" spans="1:23" s="116" customFormat="1">
      <c r="A100" s="129">
        <f t="shared" si="2"/>
        <v>3</v>
      </c>
      <c r="B100" s="1419">
        <v>33.770000000000003</v>
      </c>
      <c r="C100" s="1420">
        <v>33.770000000000003</v>
      </c>
      <c r="D100" s="1376">
        <v>33.770000000000003</v>
      </c>
      <c r="E100" s="1420">
        <v>33.770000000000003</v>
      </c>
      <c r="F100" s="1376"/>
      <c r="G100" s="1420">
        <v>40.9</v>
      </c>
      <c r="H100" s="1376">
        <v>15.3900000000001</v>
      </c>
      <c r="I100" s="1420">
        <v>33.770000000000003</v>
      </c>
      <c r="J100" s="1376">
        <v>33.770000000000003</v>
      </c>
      <c r="K100" s="1420">
        <v>33.727272727272727</v>
      </c>
      <c r="L100" s="1419">
        <v>33.770000000000003</v>
      </c>
      <c r="M100" s="129">
        <f t="shared" si="3"/>
        <v>3</v>
      </c>
      <c r="N100" s="1421">
        <v>33.770000000000003</v>
      </c>
      <c r="O100" s="1422">
        <v>37.369999999999997</v>
      </c>
      <c r="P100" s="1376">
        <v>33.770000000000003</v>
      </c>
      <c r="Q100" s="1420">
        <v>33.770000000000003</v>
      </c>
      <c r="R100" s="1381"/>
      <c r="S100" s="1420">
        <v>40.9</v>
      </c>
      <c r="T100" s="1381">
        <v>37.380000000000003</v>
      </c>
      <c r="U100" s="1423">
        <v>37.380000000000003</v>
      </c>
      <c r="V100" s="511"/>
      <c r="W100" s="117"/>
    </row>
    <row r="101" spans="1:23" s="116" customFormat="1">
      <c r="A101" s="129">
        <f t="shared" si="2"/>
        <v>2</v>
      </c>
      <c r="B101" s="1419">
        <v>32.950000000000003</v>
      </c>
      <c r="C101" s="1420">
        <v>32.86</v>
      </c>
      <c r="D101" s="1376">
        <v>32.86</v>
      </c>
      <c r="E101" s="1420">
        <v>32.86</v>
      </c>
      <c r="F101" s="1376"/>
      <c r="G101" s="1420">
        <v>40.57</v>
      </c>
      <c r="H101" s="1376">
        <v>14.9900000000001</v>
      </c>
      <c r="I101" s="1420">
        <v>32.86</v>
      </c>
      <c r="J101" s="1376">
        <v>32.86</v>
      </c>
      <c r="K101" s="1420">
        <v>32.75</v>
      </c>
      <c r="L101" s="1419">
        <v>32.86</v>
      </c>
      <c r="M101" s="129">
        <f t="shared" si="3"/>
        <v>2</v>
      </c>
      <c r="N101" s="1421">
        <v>32.950000000000003</v>
      </c>
      <c r="O101" s="1422">
        <v>36.75</v>
      </c>
      <c r="P101" s="1376">
        <v>32.86</v>
      </c>
      <c r="Q101" s="1420">
        <v>32.86</v>
      </c>
      <c r="R101" s="1381"/>
      <c r="S101" s="1420">
        <v>40.57</v>
      </c>
      <c r="T101" s="1381">
        <v>36.75</v>
      </c>
      <c r="U101" s="1423">
        <v>36.75</v>
      </c>
      <c r="V101" s="511"/>
      <c r="W101" s="117"/>
    </row>
    <row r="102" spans="1:23" s="116" customFormat="1">
      <c r="A102" s="129">
        <f t="shared" si="2"/>
        <v>1</v>
      </c>
      <c r="B102" s="1419">
        <v>32.17</v>
      </c>
      <c r="C102" s="1420">
        <v>31.81</v>
      </c>
      <c r="D102" s="1376">
        <v>31.82</v>
      </c>
      <c r="E102" s="1420">
        <v>31.82</v>
      </c>
      <c r="F102" s="1376"/>
      <c r="G102" s="1420">
        <v>40.25</v>
      </c>
      <c r="H102" s="1376">
        <v>14.590000000000099</v>
      </c>
      <c r="I102" s="1420">
        <v>31.81</v>
      </c>
      <c r="J102" s="1376">
        <v>31.82</v>
      </c>
      <c r="K102" s="1420">
        <v>31.40909090909091</v>
      </c>
      <c r="L102" s="1419">
        <v>31.82</v>
      </c>
      <c r="M102" s="129">
        <f t="shared" si="3"/>
        <v>1</v>
      </c>
      <c r="N102" s="1421">
        <v>32.17</v>
      </c>
      <c r="O102" s="1422">
        <v>36</v>
      </c>
      <c r="P102" s="1376">
        <v>31.82</v>
      </c>
      <c r="Q102" s="1420">
        <v>31.82</v>
      </c>
      <c r="R102" s="1381"/>
      <c r="S102" s="1420">
        <v>40.25</v>
      </c>
      <c r="T102" s="1381">
        <v>36</v>
      </c>
      <c r="U102" s="1423">
        <v>36</v>
      </c>
      <c r="V102" s="511"/>
      <c r="W102" s="117"/>
    </row>
    <row r="103" spans="1:23" s="7" customFormat="1" ht="14.25" thickBot="1">
      <c r="A103" s="130">
        <f t="shared" si="2"/>
        <v>0</v>
      </c>
      <c r="B103" s="1424">
        <v>29.91</v>
      </c>
      <c r="C103" s="1425">
        <v>30</v>
      </c>
      <c r="D103" s="1377">
        <v>30.27</v>
      </c>
      <c r="E103" s="1425">
        <v>30</v>
      </c>
      <c r="F103" s="1377"/>
      <c r="G103" s="1425">
        <v>39.92</v>
      </c>
      <c r="H103" s="1377">
        <v>0</v>
      </c>
      <c r="I103" s="1425">
        <v>30</v>
      </c>
      <c r="J103" s="1377">
        <v>29.91</v>
      </c>
      <c r="K103" s="1425">
        <v>30</v>
      </c>
      <c r="L103" s="1424">
        <v>30</v>
      </c>
      <c r="M103" s="130">
        <f t="shared" si="3"/>
        <v>0</v>
      </c>
      <c r="N103" s="1426">
        <v>29.91</v>
      </c>
      <c r="O103" s="1427">
        <v>34.5</v>
      </c>
      <c r="P103" s="1377">
        <v>30.27</v>
      </c>
      <c r="Q103" s="1425">
        <v>30</v>
      </c>
      <c r="R103" s="1382"/>
      <c r="S103" s="1425">
        <v>39.92</v>
      </c>
      <c r="T103" s="1382">
        <v>34.5</v>
      </c>
      <c r="U103" s="1428">
        <v>34.5</v>
      </c>
      <c r="V103" s="512"/>
      <c r="W103" s="55"/>
    </row>
    <row r="105" spans="1:23">
      <c r="B105" s="1620"/>
      <c r="C105" s="1621"/>
    </row>
    <row r="106" spans="1:23">
      <c r="B106" s="1620"/>
      <c r="C106" s="1621"/>
    </row>
  </sheetData>
  <mergeCells count="4">
    <mergeCell ref="B105:C105"/>
    <mergeCell ref="B106:C106"/>
    <mergeCell ref="B1:L1"/>
    <mergeCell ref="N1:V1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AN104"/>
  <sheetViews>
    <sheetView workbookViewId="0">
      <pane xSplit="1" ySplit="2" topLeftCell="T3" activePane="bottomRight" state="frozen"/>
      <selection pane="topRight" activeCell="B1" sqref="B1"/>
      <selection pane="bottomLeft" activeCell="A3" sqref="A3"/>
      <selection pane="bottomRight" activeCell="AA25" sqref="AA25"/>
    </sheetView>
  </sheetViews>
  <sheetFormatPr defaultRowHeight="13.5"/>
  <cols>
    <col min="1" max="1" width="9.28515625" style="118" customWidth="1"/>
    <col min="2" max="2" width="5.85546875" style="1447" customWidth="1"/>
    <col min="3" max="11" width="5.85546875" style="1422" customWidth="1"/>
    <col min="12" max="12" width="5.85546875" style="1448" customWidth="1"/>
    <col min="13" max="13" width="5.85546875" style="1449" customWidth="1"/>
    <col min="14" max="19" width="5.85546875" style="1422" customWidth="1"/>
    <col min="20" max="20" width="5.85546875" style="1450" customWidth="1"/>
    <col min="21" max="21" width="5.85546875" style="1447" customWidth="1"/>
    <col min="22" max="30" width="5.85546875" style="1422" customWidth="1"/>
    <col min="31" max="31" width="5.85546875" style="1448" customWidth="1"/>
    <col min="32" max="32" width="5.85546875" style="1449" customWidth="1"/>
    <col min="33" max="38" width="5.85546875" style="1422" customWidth="1"/>
    <col min="39" max="39" width="5.85546875" style="1450" customWidth="1"/>
    <col min="40" max="40" width="9.140625" style="117"/>
    <col min="41" max="16384" width="9.140625" style="116"/>
  </cols>
  <sheetData>
    <row r="1" spans="1:40" ht="14.25" thickBot="1">
      <c r="A1" s="1629" t="s">
        <v>92</v>
      </c>
      <c r="B1" s="1626" t="s">
        <v>826</v>
      </c>
      <c r="C1" s="1627"/>
      <c r="D1" s="1627"/>
      <c r="E1" s="1627"/>
      <c r="F1" s="1627"/>
      <c r="G1" s="1627"/>
      <c r="H1" s="1627"/>
      <c r="I1" s="1627"/>
      <c r="J1" s="1627"/>
      <c r="K1" s="1627"/>
      <c r="L1" s="1627"/>
      <c r="M1" s="1626" t="s">
        <v>827</v>
      </c>
      <c r="N1" s="1627"/>
      <c r="O1" s="1627"/>
      <c r="P1" s="1627"/>
      <c r="Q1" s="1627"/>
      <c r="R1" s="1627"/>
      <c r="S1" s="1627"/>
      <c r="T1" s="1628"/>
      <c r="U1" s="1626" t="s">
        <v>828</v>
      </c>
      <c r="V1" s="1627"/>
      <c r="W1" s="1627"/>
      <c r="X1" s="1627"/>
      <c r="Y1" s="1627"/>
      <c r="Z1" s="1627"/>
      <c r="AA1" s="1627"/>
      <c r="AB1" s="1627"/>
      <c r="AC1" s="1627"/>
      <c r="AD1" s="1627"/>
      <c r="AE1" s="1627"/>
      <c r="AF1" s="1626" t="s">
        <v>829</v>
      </c>
      <c r="AG1" s="1627"/>
      <c r="AH1" s="1627"/>
      <c r="AI1" s="1627"/>
      <c r="AJ1" s="1627"/>
      <c r="AK1" s="1627"/>
      <c r="AL1" s="1627"/>
      <c r="AM1" s="1628"/>
    </row>
    <row r="2" spans="1:40" s="14" customFormat="1" ht="14.25" thickBot="1">
      <c r="A2" s="1630"/>
      <c r="B2" s="1439" t="s">
        <v>272</v>
      </c>
      <c r="C2" s="1413" t="s">
        <v>830</v>
      </c>
      <c r="D2" s="1413" t="s">
        <v>831</v>
      </c>
      <c r="E2" s="1413" t="s">
        <v>832</v>
      </c>
      <c r="F2" s="1413" t="s">
        <v>833</v>
      </c>
      <c r="G2" s="1413" t="s">
        <v>834</v>
      </c>
      <c r="H2" s="1413" t="s">
        <v>94</v>
      </c>
      <c r="I2" s="1413" t="s">
        <v>279</v>
      </c>
      <c r="J2" s="1413" t="s">
        <v>771</v>
      </c>
      <c r="K2" s="1413" t="s">
        <v>835</v>
      </c>
      <c r="L2" s="1440" t="s">
        <v>836</v>
      </c>
      <c r="M2" s="1441" t="s">
        <v>837</v>
      </c>
      <c r="N2" s="1413" t="s">
        <v>95</v>
      </c>
      <c r="O2" s="1413" t="s">
        <v>96</v>
      </c>
      <c r="P2" s="1413" t="s">
        <v>838</v>
      </c>
      <c r="Q2" s="1413" t="s">
        <v>839</v>
      </c>
      <c r="R2" s="1413" t="s">
        <v>97</v>
      </c>
      <c r="S2" s="1413" t="s">
        <v>98</v>
      </c>
      <c r="T2" s="1442" t="s">
        <v>99</v>
      </c>
      <c r="U2" s="1439" t="s">
        <v>272</v>
      </c>
      <c r="V2" s="1413" t="s">
        <v>840</v>
      </c>
      <c r="W2" s="1413" t="s">
        <v>93</v>
      </c>
      <c r="X2" s="1413" t="s">
        <v>19</v>
      </c>
      <c r="Y2" s="1413" t="s">
        <v>276</v>
      </c>
      <c r="Z2" s="1413" t="s">
        <v>834</v>
      </c>
      <c r="AA2" s="1413" t="s">
        <v>841</v>
      </c>
      <c r="AB2" s="1413" t="s">
        <v>842</v>
      </c>
      <c r="AC2" s="1413" t="s">
        <v>843</v>
      </c>
      <c r="AD2" s="1413" t="s">
        <v>835</v>
      </c>
      <c r="AE2" s="1440" t="s">
        <v>836</v>
      </c>
      <c r="AF2" s="1441" t="s">
        <v>844</v>
      </c>
      <c r="AG2" s="1413" t="s">
        <v>845</v>
      </c>
      <c r="AH2" s="1413" t="s">
        <v>846</v>
      </c>
      <c r="AI2" s="1413" t="s">
        <v>838</v>
      </c>
      <c r="AJ2" s="1413" t="s">
        <v>847</v>
      </c>
      <c r="AK2" s="1413" t="s">
        <v>848</v>
      </c>
      <c r="AL2" s="1413" t="s">
        <v>849</v>
      </c>
      <c r="AM2" s="1442" t="s">
        <v>850</v>
      </c>
      <c r="AN2" s="53"/>
    </row>
    <row r="3" spans="1:40" s="18" customFormat="1">
      <c r="A3" s="42">
        <f>103-ROW()</f>
        <v>100</v>
      </c>
      <c r="B3" s="1443"/>
      <c r="C3" s="1417"/>
      <c r="D3" s="1417"/>
      <c r="E3" s="1417"/>
      <c r="F3" s="1417"/>
      <c r="G3" s="1417"/>
      <c r="H3" s="1417"/>
      <c r="I3" s="1417"/>
      <c r="J3" s="1417"/>
      <c r="K3" s="1417"/>
      <c r="L3" s="1444"/>
      <c r="M3" s="1445"/>
      <c r="N3" s="1417"/>
      <c r="O3" s="1417"/>
      <c r="P3" s="1417"/>
      <c r="Q3" s="1417"/>
      <c r="R3" s="1417"/>
      <c r="S3" s="1417"/>
      <c r="T3" s="1446"/>
      <c r="U3" s="1443"/>
      <c r="V3" s="1417"/>
      <c r="W3" s="1417"/>
      <c r="X3" s="1417"/>
      <c r="Y3" s="1417"/>
      <c r="Z3" s="1417"/>
      <c r="AA3" s="1417"/>
      <c r="AB3" s="1417"/>
      <c r="AC3" s="1417"/>
      <c r="AD3" s="1417"/>
      <c r="AE3" s="1444"/>
      <c r="AF3" s="1445"/>
      <c r="AG3" s="1417"/>
      <c r="AH3" s="1417"/>
      <c r="AI3" s="1417"/>
      <c r="AJ3" s="1417"/>
      <c r="AK3" s="1417"/>
      <c r="AL3" s="1417"/>
      <c r="AM3" s="1446"/>
      <c r="AN3" s="54"/>
    </row>
    <row r="4" spans="1:40">
      <c r="A4" s="118">
        <f t="shared" ref="A4:A67" si="0">103-ROW()</f>
        <v>99</v>
      </c>
    </row>
    <row r="5" spans="1:40">
      <c r="A5" s="118">
        <f t="shared" si="0"/>
        <v>98</v>
      </c>
    </row>
    <row r="6" spans="1:40">
      <c r="A6" s="118">
        <f t="shared" si="0"/>
        <v>97</v>
      </c>
    </row>
    <row r="7" spans="1:40">
      <c r="A7" s="118">
        <f t="shared" si="0"/>
        <v>96</v>
      </c>
    </row>
    <row r="8" spans="1:40">
      <c r="A8" s="118">
        <f t="shared" si="0"/>
        <v>95</v>
      </c>
    </row>
    <row r="9" spans="1:40">
      <c r="A9" s="118">
        <f t="shared" si="0"/>
        <v>94</v>
      </c>
    </row>
    <row r="10" spans="1:40">
      <c r="A10" s="118">
        <f t="shared" si="0"/>
        <v>93</v>
      </c>
    </row>
    <row r="11" spans="1:40">
      <c r="A11" s="118">
        <f t="shared" si="0"/>
        <v>92</v>
      </c>
    </row>
    <row r="12" spans="1:40" s="7" customFormat="1" ht="14.25" thickBot="1">
      <c r="A12" s="43">
        <f t="shared" si="0"/>
        <v>91</v>
      </c>
      <c r="B12" s="1451"/>
      <c r="C12" s="1427"/>
      <c r="D12" s="1427"/>
      <c r="E12" s="1427"/>
      <c r="F12" s="1427"/>
      <c r="G12" s="1427"/>
      <c r="H12" s="1427"/>
      <c r="I12" s="1427"/>
      <c r="J12" s="1427"/>
      <c r="K12" s="1427"/>
      <c r="L12" s="1452"/>
      <c r="M12" s="1453"/>
      <c r="N12" s="1427"/>
      <c r="O12" s="1427"/>
      <c r="P12" s="1427"/>
      <c r="Q12" s="1427"/>
      <c r="R12" s="1427"/>
      <c r="S12" s="1427"/>
      <c r="T12" s="1454"/>
      <c r="U12" s="1451"/>
      <c r="V12" s="1427"/>
      <c r="W12" s="1427"/>
      <c r="X12" s="1427"/>
      <c r="Y12" s="1427"/>
      <c r="Z12" s="1427"/>
      <c r="AA12" s="1427"/>
      <c r="AB12" s="1427"/>
      <c r="AC12" s="1427"/>
      <c r="AD12" s="1427"/>
      <c r="AE12" s="1452"/>
      <c r="AF12" s="1453"/>
      <c r="AG12" s="1427"/>
      <c r="AH12" s="1427"/>
      <c r="AI12" s="1427"/>
      <c r="AJ12" s="1427"/>
      <c r="AK12" s="1427"/>
      <c r="AL12" s="1427"/>
      <c r="AM12" s="1454"/>
      <c r="AN12" s="55"/>
    </row>
    <row r="13" spans="1:40" s="17" customFormat="1">
      <c r="A13" s="44">
        <f t="shared" si="0"/>
        <v>90</v>
      </c>
      <c r="B13" s="1455"/>
      <c r="C13" s="1432"/>
      <c r="D13" s="1432"/>
      <c r="E13" s="1432"/>
      <c r="F13" s="1432"/>
      <c r="G13" s="1432"/>
      <c r="H13" s="1432"/>
      <c r="I13" s="1432"/>
      <c r="J13" s="1432"/>
      <c r="K13" s="1432"/>
      <c r="L13" s="1456"/>
      <c r="M13" s="1457"/>
      <c r="N13" s="1432"/>
      <c r="O13" s="1432"/>
      <c r="P13" s="1432"/>
      <c r="Q13" s="1432"/>
      <c r="R13" s="1432"/>
      <c r="S13" s="1432">
        <v>75</v>
      </c>
      <c r="T13" s="1458"/>
      <c r="U13" s="1455"/>
      <c r="V13" s="1432"/>
      <c r="W13" s="1432"/>
      <c r="X13" s="1432"/>
      <c r="Y13" s="1432"/>
      <c r="Z13" s="1432"/>
      <c r="AA13" s="1432"/>
      <c r="AB13" s="1432"/>
      <c r="AC13" s="1432"/>
      <c r="AD13" s="1432"/>
      <c r="AE13" s="1456"/>
      <c r="AF13" s="1457"/>
      <c r="AG13" s="1432"/>
      <c r="AH13" s="1432"/>
      <c r="AI13" s="1432"/>
      <c r="AJ13" s="1432"/>
      <c r="AK13" s="1432"/>
      <c r="AL13" s="1432">
        <v>71.540000000000006</v>
      </c>
      <c r="AM13" s="1458"/>
      <c r="AN13" s="56"/>
    </row>
    <row r="14" spans="1:40">
      <c r="A14" s="118">
        <f t="shared" si="0"/>
        <v>89</v>
      </c>
      <c r="S14" s="1422">
        <v>73.83</v>
      </c>
      <c r="AL14" s="1422">
        <v>71.08</v>
      </c>
    </row>
    <row r="15" spans="1:40">
      <c r="A15" s="118">
        <f t="shared" si="0"/>
        <v>88</v>
      </c>
      <c r="S15" s="1422">
        <v>73.41</v>
      </c>
      <c r="AL15" s="1422">
        <v>70.849999999999994</v>
      </c>
    </row>
    <row r="16" spans="1:40">
      <c r="A16" s="118">
        <f t="shared" si="0"/>
        <v>87</v>
      </c>
      <c r="S16" s="1422">
        <v>73</v>
      </c>
      <c r="AL16" s="1422">
        <v>70.62</v>
      </c>
    </row>
    <row r="17" spans="1:40">
      <c r="A17" s="118">
        <f t="shared" si="0"/>
        <v>86</v>
      </c>
      <c r="R17" s="1422">
        <v>75.62</v>
      </c>
      <c r="S17" s="1422">
        <v>72.45</v>
      </c>
      <c r="AK17" s="1422">
        <v>72</v>
      </c>
      <c r="AL17" s="1422">
        <v>70.39</v>
      </c>
    </row>
    <row r="18" spans="1:40">
      <c r="A18" s="118">
        <f t="shared" si="0"/>
        <v>85</v>
      </c>
      <c r="R18" s="1422">
        <v>75</v>
      </c>
      <c r="S18" s="1422">
        <v>71.91</v>
      </c>
      <c r="AK18" s="1422">
        <v>71.540000000000006</v>
      </c>
      <c r="AL18" s="1422">
        <v>70.16</v>
      </c>
    </row>
    <row r="19" spans="1:40">
      <c r="A19" s="118">
        <f t="shared" si="0"/>
        <v>84</v>
      </c>
      <c r="R19" s="1422">
        <v>73.83</v>
      </c>
      <c r="S19" s="1422">
        <v>71.67</v>
      </c>
      <c r="AK19" s="1422">
        <v>71.08</v>
      </c>
      <c r="AL19" s="1422">
        <v>70.069999999999993</v>
      </c>
    </row>
    <row r="20" spans="1:40">
      <c r="A20" s="118">
        <f t="shared" si="0"/>
        <v>83</v>
      </c>
      <c r="R20" s="1422">
        <v>73</v>
      </c>
      <c r="AK20" s="1422">
        <v>70.62</v>
      </c>
      <c r="AL20" s="121"/>
    </row>
    <row r="21" spans="1:40">
      <c r="A21" s="118">
        <f t="shared" si="0"/>
        <v>82</v>
      </c>
      <c r="J21" s="1422">
        <v>71.72</v>
      </c>
      <c r="R21" s="1422">
        <v>72.45</v>
      </c>
      <c r="S21" s="1422">
        <v>71.19</v>
      </c>
      <c r="AC21" s="1422">
        <v>72</v>
      </c>
      <c r="AK21" s="1422">
        <v>70.39</v>
      </c>
      <c r="AL21" s="1422">
        <v>69.88</v>
      </c>
    </row>
    <row r="22" spans="1:40" s="14" customFormat="1" ht="14.25" thickBot="1">
      <c r="A22" s="45">
        <f t="shared" si="0"/>
        <v>81</v>
      </c>
      <c r="B22" s="1459"/>
      <c r="C22" s="1437"/>
      <c r="D22" s="1437"/>
      <c r="E22" s="1437"/>
      <c r="F22" s="1437"/>
      <c r="G22" s="1437"/>
      <c r="H22" s="1437"/>
      <c r="I22" s="1437"/>
      <c r="J22" s="1437"/>
      <c r="K22" s="1437"/>
      <c r="L22" s="1460"/>
      <c r="M22" s="1461"/>
      <c r="N22" s="1437"/>
      <c r="O22" s="1437"/>
      <c r="P22" s="1437"/>
      <c r="Q22" s="1437"/>
      <c r="R22" s="1437">
        <v>71.91</v>
      </c>
      <c r="S22" s="1437">
        <v>70.95</v>
      </c>
      <c r="T22" s="1462"/>
      <c r="U22" s="1459"/>
      <c r="V22" s="1437"/>
      <c r="W22" s="1437"/>
      <c r="X22" s="1437"/>
      <c r="Y22" s="1437"/>
      <c r="Z22" s="1437"/>
      <c r="AA22" s="1437"/>
      <c r="AB22" s="1437"/>
      <c r="AC22" s="1437"/>
      <c r="AD22" s="1437"/>
      <c r="AE22" s="1460"/>
      <c r="AF22" s="1461"/>
      <c r="AG22" s="1437"/>
      <c r="AH22" s="1437"/>
      <c r="AI22" s="1437"/>
      <c r="AJ22" s="1437"/>
      <c r="AK22" s="1437">
        <v>70.16</v>
      </c>
      <c r="AL22" s="1437">
        <v>69.790000000000006</v>
      </c>
      <c r="AM22" s="1462"/>
      <c r="AN22" s="53"/>
    </row>
    <row r="23" spans="1:40" s="18" customFormat="1">
      <c r="A23" s="42">
        <f t="shared" si="0"/>
        <v>80</v>
      </c>
      <c r="B23" s="1443"/>
      <c r="C23" s="1417"/>
      <c r="D23" s="1417"/>
      <c r="E23" s="1417"/>
      <c r="F23" s="1417"/>
      <c r="G23" s="1417"/>
      <c r="H23" s="1417"/>
      <c r="I23" s="1417"/>
      <c r="J23" s="1417">
        <v>71.33</v>
      </c>
      <c r="K23" s="1417"/>
      <c r="L23" s="1444"/>
      <c r="M23" s="1445"/>
      <c r="N23" s="1417"/>
      <c r="O23" s="1417"/>
      <c r="P23" s="1417"/>
      <c r="Q23" s="1417"/>
      <c r="R23" s="1417">
        <v>70.72</v>
      </c>
      <c r="S23" s="1417">
        <v>70.72</v>
      </c>
      <c r="T23" s="1446"/>
      <c r="U23" s="1443"/>
      <c r="V23" s="1417"/>
      <c r="W23" s="1417"/>
      <c r="X23" s="1417"/>
      <c r="Y23" s="1417"/>
      <c r="Z23" s="1417"/>
      <c r="AA23" s="1417"/>
      <c r="AB23" s="1417"/>
      <c r="AC23" s="1417">
        <v>71.87</v>
      </c>
      <c r="AD23" s="1417"/>
      <c r="AE23" s="1444"/>
      <c r="AF23" s="1445"/>
      <c r="AG23" s="1417"/>
      <c r="AH23" s="1417"/>
      <c r="AI23" s="1417"/>
      <c r="AJ23" s="1417"/>
      <c r="AK23" s="1417">
        <v>69.7</v>
      </c>
      <c r="AL23" s="1417">
        <v>69.7</v>
      </c>
      <c r="AM23" s="1446"/>
      <c r="AN23" s="54"/>
    </row>
    <row r="24" spans="1:40">
      <c r="A24" s="118">
        <f t="shared" si="0"/>
        <v>79</v>
      </c>
      <c r="R24" s="1422">
        <v>69.91</v>
      </c>
      <c r="S24" s="1422">
        <v>70.510000000000005</v>
      </c>
      <c r="AK24" s="1422">
        <v>69.47</v>
      </c>
      <c r="AL24" s="1422">
        <v>69.64</v>
      </c>
    </row>
    <row r="25" spans="1:40">
      <c r="A25" s="118">
        <f t="shared" si="0"/>
        <v>78</v>
      </c>
      <c r="J25" s="1422">
        <v>70.94</v>
      </c>
      <c r="R25" s="1422">
        <v>69.099999999999994</v>
      </c>
      <c r="S25" s="1422">
        <v>70.31</v>
      </c>
      <c r="AC25" s="1422">
        <v>71.739999999999995</v>
      </c>
      <c r="AK25" s="1422">
        <v>69.239999999999995</v>
      </c>
      <c r="AL25" s="1422">
        <v>69.39</v>
      </c>
    </row>
    <row r="26" spans="1:40">
      <c r="A26" s="118">
        <f t="shared" si="0"/>
        <v>77</v>
      </c>
      <c r="J26" s="1422">
        <v>70.739999999999995</v>
      </c>
      <c r="R26" s="1422">
        <v>68.48</v>
      </c>
      <c r="S26" s="1422">
        <v>70.11</v>
      </c>
      <c r="AC26" s="1422">
        <v>71.67</v>
      </c>
      <c r="AK26" s="1422">
        <v>69.09</v>
      </c>
      <c r="AL26" s="1422">
        <v>69.53</v>
      </c>
    </row>
    <row r="27" spans="1:40">
      <c r="A27" s="118">
        <f t="shared" si="0"/>
        <v>76</v>
      </c>
      <c r="F27" s="1422">
        <v>71.72</v>
      </c>
      <c r="J27" s="1422">
        <v>70.55</v>
      </c>
      <c r="R27" s="1422">
        <v>67.86</v>
      </c>
      <c r="S27" s="1422">
        <v>69.91</v>
      </c>
      <c r="Y27" s="1422">
        <v>72</v>
      </c>
      <c r="AC27" s="1422">
        <v>71.61</v>
      </c>
      <c r="AK27" s="1422">
        <v>68.930000000000007</v>
      </c>
      <c r="AL27" s="1422">
        <v>69.47</v>
      </c>
    </row>
    <row r="28" spans="1:40">
      <c r="A28" s="118">
        <f t="shared" si="0"/>
        <v>75</v>
      </c>
      <c r="I28" s="1422">
        <v>71.72</v>
      </c>
      <c r="J28" s="1422">
        <v>70.36</v>
      </c>
      <c r="R28" s="1422">
        <v>67.25</v>
      </c>
      <c r="S28" s="1422">
        <v>69.7</v>
      </c>
      <c r="AB28" s="1422">
        <v>72</v>
      </c>
      <c r="AC28" s="1422">
        <v>71.540000000000006</v>
      </c>
      <c r="AK28" s="1422">
        <v>68.78</v>
      </c>
      <c r="AL28" s="1422">
        <v>69.41</v>
      </c>
    </row>
    <row r="29" spans="1:40">
      <c r="A29" s="118">
        <f t="shared" si="0"/>
        <v>74</v>
      </c>
      <c r="F29" s="1422">
        <v>70.81</v>
      </c>
      <c r="J29" s="1422">
        <v>69.84</v>
      </c>
      <c r="K29" s="1422">
        <v>71.72</v>
      </c>
      <c r="O29" s="1422">
        <v>75.62</v>
      </c>
      <c r="P29" s="1422">
        <v>75.62</v>
      </c>
      <c r="Q29" s="1422">
        <v>75.62</v>
      </c>
      <c r="R29" s="1422">
        <v>66.900000000000006</v>
      </c>
      <c r="S29" s="1422">
        <v>69.5</v>
      </c>
      <c r="Y29" s="1422">
        <v>71.69</v>
      </c>
      <c r="AC29" s="1422">
        <v>71.39</v>
      </c>
      <c r="AD29" s="1422">
        <v>72</v>
      </c>
      <c r="AH29" s="1422">
        <v>72</v>
      </c>
      <c r="AI29" s="1422">
        <v>72</v>
      </c>
      <c r="AJ29" s="1422">
        <v>72</v>
      </c>
      <c r="AK29" s="1422">
        <v>68.63</v>
      </c>
      <c r="AL29" s="1422">
        <v>69.36</v>
      </c>
    </row>
    <row r="30" spans="1:40">
      <c r="A30" s="118">
        <f t="shared" si="0"/>
        <v>73</v>
      </c>
      <c r="F30" s="1422">
        <v>70.36</v>
      </c>
      <c r="I30" s="1422">
        <v>70.36</v>
      </c>
      <c r="J30" s="1422">
        <v>69.33</v>
      </c>
      <c r="O30" s="1422">
        <v>75</v>
      </c>
      <c r="P30" s="1422">
        <v>75</v>
      </c>
      <c r="Q30" s="1422">
        <v>75</v>
      </c>
      <c r="R30" s="1422">
        <v>66.55</v>
      </c>
      <c r="Y30" s="1422">
        <v>71.540000000000006</v>
      </c>
      <c r="AB30" s="1422">
        <v>71.540000000000006</v>
      </c>
      <c r="AC30" s="1422">
        <v>71.23</v>
      </c>
      <c r="AH30" s="1422">
        <v>71.540000000000006</v>
      </c>
      <c r="AI30" s="1422">
        <v>71.540000000000006</v>
      </c>
      <c r="AJ30" s="1422">
        <v>71.540000000000006</v>
      </c>
      <c r="AK30" s="1422">
        <v>68.47</v>
      </c>
      <c r="AL30" s="121"/>
    </row>
    <row r="31" spans="1:40">
      <c r="A31" s="118">
        <f t="shared" si="0"/>
        <v>72</v>
      </c>
      <c r="C31" s="1422">
        <v>71.72</v>
      </c>
      <c r="F31" s="1422">
        <v>69.97</v>
      </c>
      <c r="I31" s="1422">
        <v>69.59</v>
      </c>
      <c r="J31" s="1422">
        <v>68.819999999999993</v>
      </c>
      <c r="K31" s="1422">
        <v>70.36</v>
      </c>
      <c r="O31" s="1422">
        <v>74.41</v>
      </c>
      <c r="P31" s="1422">
        <v>74.41</v>
      </c>
      <c r="Q31" s="1422">
        <v>73.83</v>
      </c>
      <c r="R31" s="1422">
        <v>66.2</v>
      </c>
      <c r="S31" s="1422">
        <v>69.099999999999994</v>
      </c>
      <c r="V31" s="1422">
        <v>72</v>
      </c>
      <c r="Y31" s="1422">
        <v>71.430000000000007</v>
      </c>
      <c r="AB31" s="1422">
        <v>71.31</v>
      </c>
      <c r="AC31" s="1422">
        <v>71.08</v>
      </c>
      <c r="AD31" s="1422">
        <v>71.540000000000006</v>
      </c>
      <c r="AH31" s="1422">
        <v>71.31</v>
      </c>
      <c r="AI31" s="1422">
        <v>71.31</v>
      </c>
      <c r="AJ31" s="1422">
        <v>71.08</v>
      </c>
      <c r="AK31" s="1422">
        <v>68.319999999999993</v>
      </c>
      <c r="AL31" s="1422">
        <v>69.239999999999995</v>
      </c>
    </row>
    <row r="32" spans="1:40" s="7" customFormat="1" ht="14.25" thickBot="1">
      <c r="A32" s="43">
        <f t="shared" si="0"/>
        <v>71</v>
      </c>
      <c r="B32" s="1451"/>
      <c r="C32" s="1427"/>
      <c r="D32" s="1427"/>
      <c r="E32" s="1427"/>
      <c r="F32" s="1427">
        <v>69.59</v>
      </c>
      <c r="G32" s="1427"/>
      <c r="H32" s="1427"/>
      <c r="I32" s="1427">
        <v>68.819999999999993</v>
      </c>
      <c r="J32" s="1427">
        <v>68.37</v>
      </c>
      <c r="K32" s="1427">
        <v>68.819999999999993</v>
      </c>
      <c r="L32" s="1452"/>
      <c r="M32" s="1453"/>
      <c r="N32" s="1427"/>
      <c r="O32" s="1427">
        <v>73.83</v>
      </c>
      <c r="P32" s="1427">
        <v>73.83</v>
      </c>
      <c r="Q32" s="1427">
        <v>73</v>
      </c>
      <c r="R32" s="1427">
        <v>65.94</v>
      </c>
      <c r="S32" s="1427">
        <v>68.89</v>
      </c>
      <c r="T32" s="1454"/>
      <c r="U32" s="1451"/>
      <c r="V32" s="1427"/>
      <c r="W32" s="1427"/>
      <c r="X32" s="1427"/>
      <c r="Y32" s="1427">
        <v>71.31</v>
      </c>
      <c r="Z32" s="1427"/>
      <c r="AA32" s="1427"/>
      <c r="AB32" s="1427">
        <v>71.08</v>
      </c>
      <c r="AC32" s="1427">
        <v>70.849999999999994</v>
      </c>
      <c r="AD32" s="1427">
        <v>71.08</v>
      </c>
      <c r="AE32" s="1452"/>
      <c r="AF32" s="1453"/>
      <c r="AG32" s="1427"/>
      <c r="AH32" s="1427">
        <v>71.08</v>
      </c>
      <c r="AI32" s="1427">
        <v>71.08</v>
      </c>
      <c r="AJ32" s="1427">
        <v>70.62</v>
      </c>
      <c r="AK32" s="1427">
        <v>68.209999999999994</v>
      </c>
      <c r="AL32" s="1427">
        <v>69.19</v>
      </c>
      <c r="AM32" s="1454"/>
      <c r="AN32" s="55"/>
    </row>
    <row r="33" spans="1:40" s="17" customFormat="1">
      <c r="A33" s="44">
        <f t="shared" si="0"/>
        <v>70</v>
      </c>
      <c r="B33" s="1455"/>
      <c r="C33" s="1432">
        <v>68.819999999999993</v>
      </c>
      <c r="D33" s="1432">
        <v>70.36</v>
      </c>
      <c r="E33" s="1432"/>
      <c r="F33" s="1432"/>
      <c r="G33" s="1432"/>
      <c r="H33" s="1432"/>
      <c r="I33" s="1432">
        <v>67.92</v>
      </c>
      <c r="J33" s="1432">
        <v>67.92</v>
      </c>
      <c r="K33" s="1432">
        <v>67.92</v>
      </c>
      <c r="L33" s="1456"/>
      <c r="M33" s="1457">
        <v>75.62</v>
      </c>
      <c r="N33" s="1432"/>
      <c r="O33" s="1432">
        <v>71.91</v>
      </c>
      <c r="P33" s="1432">
        <v>73</v>
      </c>
      <c r="Q33" s="1432">
        <v>72.45</v>
      </c>
      <c r="R33" s="1432">
        <v>65.69</v>
      </c>
      <c r="S33" s="1432">
        <v>68.680000000000007</v>
      </c>
      <c r="T33" s="1458">
        <v>75</v>
      </c>
      <c r="U33" s="1455"/>
      <c r="V33" s="1432">
        <v>71.08</v>
      </c>
      <c r="W33" s="1432">
        <v>71.540000000000006</v>
      </c>
      <c r="X33" s="1432"/>
      <c r="Y33" s="1432"/>
      <c r="Z33" s="1432"/>
      <c r="AA33" s="1432"/>
      <c r="AB33" s="1432">
        <v>70.62</v>
      </c>
      <c r="AC33" s="1432">
        <v>70.62</v>
      </c>
      <c r="AD33" s="1432">
        <v>70.62</v>
      </c>
      <c r="AE33" s="1456"/>
      <c r="AF33" s="1457">
        <v>72</v>
      </c>
      <c r="AG33" s="1432"/>
      <c r="AH33" s="1432">
        <v>70.16</v>
      </c>
      <c r="AI33" s="1432">
        <v>70.849999999999994</v>
      </c>
      <c r="AJ33" s="1432">
        <v>70.39</v>
      </c>
      <c r="AK33" s="1432">
        <v>68.09</v>
      </c>
      <c r="AL33" s="1432">
        <v>69.14</v>
      </c>
      <c r="AM33" s="1458">
        <v>71.540000000000006</v>
      </c>
      <c r="AN33" s="56"/>
    </row>
    <row r="34" spans="1:40">
      <c r="A34" s="118">
        <f t="shared" si="0"/>
        <v>69</v>
      </c>
      <c r="B34" s="1447">
        <v>70.36</v>
      </c>
      <c r="C34" s="1422">
        <v>67.92</v>
      </c>
      <c r="E34" s="1422">
        <v>70.36</v>
      </c>
      <c r="F34" s="1422">
        <v>68.819999999999993</v>
      </c>
      <c r="I34" s="1422">
        <v>67.36</v>
      </c>
      <c r="J34" s="1422">
        <v>67.36</v>
      </c>
      <c r="K34" s="1422">
        <v>66.77</v>
      </c>
      <c r="L34" s="1448">
        <v>70.36</v>
      </c>
      <c r="M34" s="1449">
        <v>75</v>
      </c>
      <c r="O34" s="1422">
        <v>67.25</v>
      </c>
      <c r="P34" s="1422">
        <v>71.91</v>
      </c>
      <c r="Q34" s="1422">
        <v>71.91</v>
      </c>
      <c r="R34" s="1422">
        <v>65.430000000000007</v>
      </c>
      <c r="S34" s="1422">
        <v>68.48</v>
      </c>
      <c r="T34" s="1450">
        <v>73.83</v>
      </c>
      <c r="U34" s="1447">
        <v>71.540000000000006</v>
      </c>
      <c r="V34" s="1422">
        <v>70.62</v>
      </c>
      <c r="X34" s="1422">
        <v>71.540000000000006</v>
      </c>
      <c r="Y34" s="1422">
        <v>71.08</v>
      </c>
      <c r="AB34" s="1422">
        <v>70.16</v>
      </c>
      <c r="AC34" s="1422">
        <v>70.16</v>
      </c>
      <c r="AD34" s="1422">
        <v>70.16</v>
      </c>
      <c r="AE34" s="1448">
        <v>71.540000000000006</v>
      </c>
      <c r="AF34" s="1449">
        <v>71.540000000000006</v>
      </c>
      <c r="AH34" s="1422">
        <v>68.78</v>
      </c>
      <c r="AI34" s="1422">
        <v>70.16</v>
      </c>
      <c r="AJ34" s="1422">
        <v>70.16</v>
      </c>
      <c r="AK34" s="1422">
        <v>67.98</v>
      </c>
      <c r="AL34" s="1422">
        <v>69.06</v>
      </c>
      <c r="AM34" s="1450">
        <v>71.08</v>
      </c>
    </row>
    <row r="35" spans="1:40">
      <c r="A35" s="118">
        <f t="shared" si="0"/>
        <v>68</v>
      </c>
      <c r="C35" s="1422">
        <v>66.77</v>
      </c>
      <c r="D35" s="1422">
        <v>68.819999999999993</v>
      </c>
      <c r="F35" s="1422">
        <v>67.92</v>
      </c>
      <c r="I35" s="1422">
        <v>66.77</v>
      </c>
      <c r="J35" s="1422">
        <v>66.77</v>
      </c>
      <c r="K35" s="1422">
        <v>66.099999999999994</v>
      </c>
      <c r="M35" s="1449">
        <v>71.91</v>
      </c>
      <c r="O35" s="1422">
        <v>65.180000000000007</v>
      </c>
      <c r="P35" s="1422">
        <v>70.72</v>
      </c>
      <c r="Q35" s="1422">
        <v>70.72</v>
      </c>
      <c r="R35" s="1422">
        <v>65.180000000000007</v>
      </c>
      <c r="S35" s="1422">
        <v>68.27</v>
      </c>
      <c r="T35" s="1450">
        <v>71.91</v>
      </c>
      <c r="V35" s="1422">
        <v>69.7</v>
      </c>
      <c r="W35" s="1422">
        <v>71.08</v>
      </c>
      <c r="Y35" s="1422">
        <v>70.62</v>
      </c>
      <c r="AB35" s="1422">
        <v>69.7</v>
      </c>
      <c r="AC35" s="1422">
        <v>69.7</v>
      </c>
      <c r="AD35" s="1422">
        <v>69.239999999999995</v>
      </c>
      <c r="AF35" s="1449">
        <v>70.16</v>
      </c>
      <c r="AH35" s="1422">
        <v>67.86</v>
      </c>
      <c r="AI35" s="1422">
        <v>69.7</v>
      </c>
      <c r="AJ35" s="1422">
        <v>69.7</v>
      </c>
      <c r="AK35" s="1422">
        <v>67.86</v>
      </c>
      <c r="AL35" s="1422">
        <v>69.040000000000006</v>
      </c>
      <c r="AM35" s="1450">
        <v>70.16</v>
      </c>
    </row>
    <row r="36" spans="1:40">
      <c r="A36" s="118">
        <f t="shared" si="0"/>
        <v>67</v>
      </c>
      <c r="B36" s="1447">
        <v>66.099999999999994</v>
      </c>
      <c r="C36" s="1422">
        <v>65.239999999999995</v>
      </c>
      <c r="D36" s="1422">
        <v>67.36</v>
      </c>
      <c r="E36" s="1422">
        <v>68.3</v>
      </c>
      <c r="F36" s="1422">
        <v>67.36</v>
      </c>
      <c r="G36" s="1422">
        <v>68.819999999999993</v>
      </c>
      <c r="I36" s="1422">
        <v>66.099999999999994</v>
      </c>
      <c r="J36" s="1422">
        <v>66.099999999999994</v>
      </c>
      <c r="K36" s="1422">
        <v>65.62</v>
      </c>
      <c r="L36" s="1448">
        <v>68.819999999999993</v>
      </c>
      <c r="M36" s="1449">
        <v>69.099999999999994</v>
      </c>
      <c r="N36" s="1422">
        <v>75</v>
      </c>
      <c r="O36" s="1422">
        <v>63</v>
      </c>
      <c r="P36" s="1422">
        <v>67.25</v>
      </c>
      <c r="Q36" s="1422">
        <v>69.099999999999994</v>
      </c>
      <c r="R36" s="1422">
        <v>64.97</v>
      </c>
      <c r="S36" s="1422">
        <v>68.069999999999993</v>
      </c>
      <c r="T36" s="1450">
        <v>67.25</v>
      </c>
      <c r="U36" s="1447">
        <v>69.239999999999995</v>
      </c>
      <c r="V36" s="1422">
        <v>68.319999999999993</v>
      </c>
      <c r="W36" s="1422">
        <v>70.16</v>
      </c>
      <c r="X36" s="1422">
        <v>71.31</v>
      </c>
      <c r="Y36" s="1422">
        <v>70.16</v>
      </c>
      <c r="Z36" s="1422">
        <v>71.08</v>
      </c>
      <c r="AB36" s="1422">
        <v>69.239999999999995</v>
      </c>
      <c r="AC36" s="1422">
        <v>69.239999999999995</v>
      </c>
      <c r="AD36" s="1422">
        <v>68.78</v>
      </c>
      <c r="AE36" s="1448">
        <v>71.08</v>
      </c>
      <c r="AF36" s="1449">
        <v>69.239999999999995</v>
      </c>
      <c r="AG36" s="1422">
        <v>71.540000000000006</v>
      </c>
      <c r="AH36" s="1422">
        <v>66.94</v>
      </c>
      <c r="AI36" s="1422">
        <v>68.78</v>
      </c>
      <c r="AJ36" s="1422">
        <v>69.239999999999995</v>
      </c>
      <c r="AK36" s="1422">
        <v>67.78</v>
      </c>
      <c r="AL36" s="1422">
        <v>68.98</v>
      </c>
      <c r="AM36" s="1450">
        <v>68.78</v>
      </c>
    </row>
    <row r="37" spans="1:40">
      <c r="A37" s="118">
        <f t="shared" si="0"/>
        <v>66</v>
      </c>
      <c r="B37" s="1447">
        <v>65.239999999999995</v>
      </c>
      <c r="C37" s="1422">
        <v>64.61</v>
      </c>
      <c r="D37" s="1422">
        <v>66.099999999999994</v>
      </c>
      <c r="E37" s="1422">
        <v>67.92</v>
      </c>
      <c r="F37" s="1422">
        <v>66.77</v>
      </c>
      <c r="H37" s="1422">
        <v>67.36</v>
      </c>
      <c r="I37" s="1422">
        <v>65.62</v>
      </c>
      <c r="J37" s="1422">
        <v>65.239999999999995</v>
      </c>
      <c r="K37" s="1422">
        <v>64.61</v>
      </c>
      <c r="L37" s="1448">
        <v>67.92</v>
      </c>
      <c r="M37" s="1449">
        <v>67.25</v>
      </c>
      <c r="N37" s="1422">
        <v>73.83</v>
      </c>
      <c r="O37" s="1422">
        <v>61.25</v>
      </c>
      <c r="P37" s="1422">
        <v>63.95</v>
      </c>
      <c r="Q37" s="1422">
        <v>65.180000000000007</v>
      </c>
      <c r="R37" s="1422">
        <v>64.77</v>
      </c>
      <c r="S37" s="1422">
        <v>67.86</v>
      </c>
      <c r="T37" s="1450">
        <v>65.180000000000007</v>
      </c>
      <c r="U37" s="1447">
        <v>68.319999999999993</v>
      </c>
      <c r="V37" s="1422">
        <v>67.86</v>
      </c>
      <c r="W37" s="1422">
        <v>69.239999999999995</v>
      </c>
      <c r="X37" s="1422">
        <v>70.62</v>
      </c>
      <c r="Y37" s="1422">
        <v>69.7</v>
      </c>
      <c r="AA37" s="1422">
        <v>70.16</v>
      </c>
      <c r="AB37" s="1422">
        <v>68.78</v>
      </c>
      <c r="AC37" s="1422">
        <v>68.319999999999993</v>
      </c>
      <c r="AD37" s="1422">
        <v>68.319999999999993</v>
      </c>
      <c r="AE37" s="1448">
        <v>70.62</v>
      </c>
      <c r="AF37" s="1449">
        <v>68.78</v>
      </c>
      <c r="AG37" s="1422">
        <v>71.08</v>
      </c>
      <c r="AH37" s="1422">
        <v>65.56</v>
      </c>
      <c r="AI37" s="1422">
        <v>67.400000000000006</v>
      </c>
      <c r="AJ37" s="1422">
        <v>67.86</v>
      </c>
      <c r="AK37" s="1422">
        <v>67.709999999999994</v>
      </c>
      <c r="AL37" s="1422">
        <v>68.930000000000007</v>
      </c>
      <c r="AM37" s="1450">
        <v>67.86</v>
      </c>
    </row>
    <row r="38" spans="1:40">
      <c r="A38" s="118">
        <f t="shared" si="0"/>
        <v>65</v>
      </c>
      <c r="B38" s="1447">
        <v>64.61</v>
      </c>
      <c r="C38" s="1422">
        <v>63.74</v>
      </c>
      <c r="D38" s="1422">
        <v>64.61</v>
      </c>
      <c r="E38" s="1422">
        <v>66.099999999999994</v>
      </c>
      <c r="F38" s="1422">
        <v>66.099999999999994</v>
      </c>
      <c r="G38" s="1422">
        <v>66.099999999999994</v>
      </c>
      <c r="H38" s="1422">
        <v>65.239999999999995</v>
      </c>
      <c r="I38" s="1422">
        <v>64.61</v>
      </c>
      <c r="K38" s="1422">
        <v>64.12</v>
      </c>
      <c r="L38" s="1448">
        <v>66.77</v>
      </c>
      <c r="M38" s="1449">
        <v>63.95</v>
      </c>
      <c r="N38" s="1422">
        <v>70.72</v>
      </c>
      <c r="O38" s="1422">
        <v>60.7</v>
      </c>
      <c r="P38" s="1422">
        <v>63</v>
      </c>
      <c r="Q38" s="1422">
        <v>63.95</v>
      </c>
      <c r="R38" s="1422">
        <v>64.56</v>
      </c>
      <c r="S38" s="1422">
        <v>67.66</v>
      </c>
      <c r="T38" s="1450">
        <v>63.95</v>
      </c>
      <c r="U38" s="1447">
        <v>67.86</v>
      </c>
      <c r="V38" s="1422">
        <v>66.94</v>
      </c>
      <c r="W38" s="1422">
        <v>67.86</v>
      </c>
      <c r="X38" s="1422">
        <v>69.239999999999995</v>
      </c>
      <c r="Y38" s="1422">
        <v>69.239999999999995</v>
      </c>
      <c r="Z38" s="1422">
        <v>69.239999999999995</v>
      </c>
      <c r="AA38" s="1422">
        <v>68.319999999999993</v>
      </c>
      <c r="AB38" s="1422">
        <v>67.86</v>
      </c>
      <c r="AC38" s="121"/>
      <c r="AD38" s="1422">
        <v>67.86</v>
      </c>
      <c r="AE38" s="1448">
        <v>69.7</v>
      </c>
      <c r="AF38" s="1449">
        <v>67.400000000000006</v>
      </c>
      <c r="AG38" s="1422">
        <v>69.7</v>
      </c>
      <c r="AH38" s="1422">
        <v>65.099999999999994</v>
      </c>
      <c r="AI38" s="1422">
        <v>66.94</v>
      </c>
      <c r="AJ38" s="1422">
        <v>67.400000000000006</v>
      </c>
      <c r="AK38" s="1422">
        <v>67.63</v>
      </c>
      <c r="AL38" s="1422">
        <v>68.88</v>
      </c>
      <c r="AM38" s="1450">
        <v>67.400000000000006</v>
      </c>
    </row>
    <row r="39" spans="1:40">
      <c r="A39" s="118">
        <f t="shared" si="0"/>
        <v>64</v>
      </c>
      <c r="B39" s="1447">
        <v>63.32</v>
      </c>
      <c r="C39" s="1422">
        <v>62.54</v>
      </c>
      <c r="D39" s="1422">
        <v>64.12</v>
      </c>
      <c r="E39" s="1422">
        <v>64.12</v>
      </c>
      <c r="F39" s="1422">
        <v>65.239999999999995</v>
      </c>
      <c r="G39" s="1422">
        <v>64.12</v>
      </c>
      <c r="H39" s="1422">
        <v>63.32</v>
      </c>
      <c r="I39" s="1422">
        <v>63.74</v>
      </c>
      <c r="J39" s="1422">
        <v>64.61</v>
      </c>
      <c r="K39" s="1422">
        <v>63.32</v>
      </c>
      <c r="L39" s="1448">
        <v>66.099999999999994</v>
      </c>
      <c r="M39" s="1449">
        <v>61.7</v>
      </c>
      <c r="N39" s="1422">
        <v>66.2</v>
      </c>
      <c r="O39" s="1422">
        <v>59.81</v>
      </c>
      <c r="P39" s="1422">
        <v>61.7</v>
      </c>
      <c r="Q39" s="1422">
        <v>62.33</v>
      </c>
      <c r="R39" s="1422">
        <v>64.36</v>
      </c>
      <c r="T39" s="1450">
        <v>62.33</v>
      </c>
      <c r="U39" s="1447">
        <v>66.48</v>
      </c>
      <c r="V39" s="1422">
        <v>65.56</v>
      </c>
      <c r="W39" s="1422">
        <v>67.400000000000006</v>
      </c>
      <c r="X39" s="1422">
        <v>67.400000000000006</v>
      </c>
      <c r="Y39" s="1422">
        <v>68.319999999999993</v>
      </c>
      <c r="Z39" s="1422">
        <v>67.400000000000006</v>
      </c>
      <c r="AA39" s="1422">
        <v>66.48</v>
      </c>
      <c r="AB39" s="1422">
        <v>66.94</v>
      </c>
      <c r="AC39" s="1422">
        <v>67.86</v>
      </c>
      <c r="AD39" s="1422">
        <v>67.400000000000006</v>
      </c>
      <c r="AE39" s="1448">
        <v>69.239999999999995</v>
      </c>
      <c r="AF39" s="1449">
        <v>66.02</v>
      </c>
      <c r="AG39" s="1422">
        <v>68.319999999999993</v>
      </c>
      <c r="AH39" s="1422">
        <v>64.180000000000007</v>
      </c>
      <c r="AI39" s="1422">
        <v>66.02</v>
      </c>
      <c r="AJ39" s="1422">
        <v>66.48</v>
      </c>
      <c r="AK39" s="1422">
        <v>67.55</v>
      </c>
      <c r="AL39" s="121"/>
      <c r="AM39" s="1450">
        <v>66.48</v>
      </c>
    </row>
    <row r="40" spans="1:40">
      <c r="A40" s="118">
        <f t="shared" si="0"/>
        <v>63</v>
      </c>
      <c r="B40" s="1447">
        <v>61.74</v>
      </c>
      <c r="C40" s="1422">
        <v>61.74</v>
      </c>
      <c r="D40" s="1422">
        <v>62.97</v>
      </c>
      <c r="E40" s="1422">
        <v>62.97</v>
      </c>
      <c r="F40" s="1422">
        <v>64.12</v>
      </c>
      <c r="G40" s="1422">
        <v>62.54</v>
      </c>
      <c r="H40" s="1422">
        <v>61.74</v>
      </c>
      <c r="I40" s="1422">
        <v>63.32</v>
      </c>
      <c r="J40" s="1422">
        <v>63.74</v>
      </c>
      <c r="K40" s="1422">
        <v>62.17</v>
      </c>
      <c r="L40" s="1448">
        <v>64.61</v>
      </c>
      <c r="M40" s="1449">
        <v>60.7</v>
      </c>
      <c r="N40" s="1422">
        <v>61.7</v>
      </c>
      <c r="O40" s="1422">
        <v>59.38</v>
      </c>
      <c r="P40" s="1422">
        <v>60.7</v>
      </c>
      <c r="Q40" s="1422">
        <v>61.7</v>
      </c>
      <c r="R40" s="1422">
        <v>64.150000000000006</v>
      </c>
      <c r="S40" s="1422">
        <v>67.25</v>
      </c>
      <c r="T40" s="1450">
        <v>61.7</v>
      </c>
      <c r="U40" s="1447">
        <v>64.64</v>
      </c>
      <c r="V40" s="1422">
        <v>64.64</v>
      </c>
      <c r="W40" s="1422">
        <v>66.02</v>
      </c>
      <c r="X40" s="1422">
        <v>66.02</v>
      </c>
      <c r="Y40" s="1422">
        <v>67.400000000000006</v>
      </c>
      <c r="Z40" s="1422">
        <v>65.56</v>
      </c>
      <c r="AA40" s="1422">
        <v>64.64</v>
      </c>
      <c r="AB40" s="1422">
        <v>66.48</v>
      </c>
      <c r="AC40" s="1422">
        <v>66.94</v>
      </c>
      <c r="AD40" s="1422">
        <v>65.56</v>
      </c>
      <c r="AE40" s="1448">
        <v>67.86</v>
      </c>
      <c r="AF40" s="1449">
        <v>65.099999999999994</v>
      </c>
      <c r="AG40" s="1422">
        <v>66.02</v>
      </c>
      <c r="AH40" s="1422">
        <v>63.72</v>
      </c>
      <c r="AI40" s="1422">
        <v>65.099999999999994</v>
      </c>
      <c r="AJ40" s="1422">
        <v>66.02</v>
      </c>
      <c r="AK40" s="1422">
        <v>67.48</v>
      </c>
      <c r="AL40" s="1422">
        <v>68.78</v>
      </c>
      <c r="AM40" s="1450">
        <v>66.02</v>
      </c>
    </row>
    <row r="41" spans="1:40">
      <c r="A41" s="118">
        <f t="shared" si="0"/>
        <v>62</v>
      </c>
      <c r="B41" s="1447">
        <v>60.93</v>
      </c>
      <c r="C41" s="1422">
        <v>60.51</v>
      </c>
      <c r="D41" s="1422">
        <v>62.17</v>
      </c>
      <c r="E41" s="1422">
        <v>62.54</v>
      </c>
      <c r="F41" s="1422">
        <v>63.32</v>
      </c>
      <c r="G41" s="1422">
        <v>61.34</v>
      </c>
      <c r="H41" s="1422">
        <v>60.51</v>
      </c>
      <c r="I41" s="1422">
        <v>62.54</v>
      </c>
      <c r="J41" s="1422">
        <v>62.97</v>
      </c>
      <c r="K41" s="1422">
        <v>61.74</v>
      </c>
      <c r="L41" s="1448">
        <v>62.97</v>
      </c>
      <c r="M41" s="1449">
        <v>59.38</v>
      </c>
      <c r="N41" s="1422">
        <v>59.04</v>
      </c>
      <c r="O41" s="1422">
        <v>58.72</v>
      </c>
      <c r="P41" s="1422">
        <v>59.81</v>
      </c>
      <c r="Q41" s="1422">
        <v>60.7</v>
      </c>
      <c r="R41" s="1422">
        <v>63.95</v>
      </c>
      <c r="S41" s="1422">
        <v>66.900000000000006</v>
      </c>
      <c r="T41" s="1450">
        <v>60.7</v>
      </c>
      <c r="U41" s="1447">
        <v>63.72</v>
      </c>
      <c r="V41" s="1422">
        <v>63.26</v>
      </c>
      <c r="W41" s="1422">
        <v>65.099999999999994</v>
      </c>
      <c r="X41" s="1422">
        <v>65.56</v>
      </c>
      <c r="Y41" s="1422">
        <v>66.48</v>
      </c>
      <c r="Z41" s="1422">
        <v>64.180000000000007</v>
      </c>
      <c r="AA41" s="1422">
        <v>63.26</v>
      </c>
      <c r="AB41" s="1422">
        <v>65.56</v>
      </c>
      <c r="AC41" s="1422">
        <v>66.02</v>
      </c>
      <c r="AD41" s="1422">
        <v>65.099999999999994</v>
      </c>
      <c r="AE41" s="1448">
        <v>66.02</v>
      </c>
      <c r="AF41" s="1449">
        <v>63.72</v>
      </c>
      <c r="AG41" s="1422">
        <v>63.26</v>
      </c>
      <c r="AH41" s="1422">
        <v>62.8</v>
      </c>
      <c r="AI41" s="1422">
        <v>64.180000000000007</v>
      </c>
      <c r="AJ41" s="1422">
        <v>65.099999999999994</v>
      </c>
      <c r="AK41" s="1422">
        <v>67.400000000000006</v>
      </c>
      <c r="AL41" s="1422">
        <v>68.63</v>
      </c>
      <c r="AM41" s="1450">
        <v>65.099999999999994</v>
      </c>
    </row>
    <row r="42" spans="1:40" s="14" customFormat="1" ht="14.25" thickBot="1">
      <c r="A42" s="45">
        <f t="shared" si="0"/>
        <v>61</v>
      </c>
      <c r="B42" s="1459">
        <v>60.09</v>
      </c>
      <c r="C42" s="1437">
        <v>59.65</v>
      </c>
      <c r="D42" s="1437">
        <v>61.34</v>
      </c>
      <c r="E42" s="1437">
        <v>60.93</v>
      </c>
      <c r="F42" s="1437">
        <v>62.54</v>
      </c>
      <c r="G42" s="1437">
        <v>60.51</v>
      </c>
      <c r="H42" s="1437">
        <v>59.65</v>
      </c>
      <c r="I42" s="1437">
        <v>61.74</v>
      </c>
      <c r="J42" s="1437">
        <v>62.17</v>
      </c>
      <c r="K42" s="1437">
        <v>60.93</v>
      </c>
      <c r="L42" s="1460">
        <v>61.74</v>
      </c>
      <c r="M42" s="1461">
        <v>57.83</v>
      </c>
      <c r="N42" s="1437">
        <v>57.14</v>
      </c>
      <c r="O42" s="1437">
        <v>58.46</v>
      </c>
      <c r="P42" s="1437">
        <v>58.72</v>
      </c>
      <c r="Q42" s="1437">
        <v>60.22</v>
      </c>
      <c r="R42" s="1437">
        <v>63.71</v>
      </c>
      <c r="S42" s="1437">
        <v>66.55</v>
      </c>
      <c r="T42" s="1462">
        <v>59.81</v>
      </c>
      <c r="U42" s="1459">
        <v>62.8</v>
      </c>
      <c r="V42" s="1437">
        <v>62.34</v>
      </c>
      <c r="W42" s="1437">
        <v>64.180000000000007</v>
      </c>
      <c r="X42" s="1437">
        <v>63.72</v>
      </c>
      <c r="Y42" s="1437">
        <v>65.56</v>
      </c>
      <c r="Z42" s="1437">
        <v>63.26</v>
      </c>
      <c r="AA42" s="1437">
        <v>62.34</v>
      </c>
      <c r="AB42" s="1437">
        <v>64.540000000000006</v>
      </c>
      <c r="AC42" s="1437">
        <v>65.099999999999994</v>
      </c>
      <c r="AD42" s="1437">
        <v>64.180000000000007</v>
      </c>
      <c r="AE42" s="1460">
        <v>64.64</v>
      </c>
      <c r="AF42" s="1461">
        <v>61.88</v>
      </c>
      <c r="AG42" s="1437">
        <v>60.96</v>
      </c>
      <c r="AH42" s="1437">
        <v>62.57</v>
      </c>
      <c r="AI42" s="1437">
        <v>62.8</v>
      </c>
      <c r="AJ42" s="1437">
        <v>64.64</v>
      </c>
      <c r="AK42" s="1437">
        <v>67.290000000000006</v>
      </c>
      <c r="AL42" s="1437">
        <v>68.47</v>
      </c>
      <c r="AM42" s="1462">
        <v>64.180000000000007</v>
      </c>
      <c r="AN42" s="53"/>
    </row>
    <row r="43" spans="1:40" s="18" customFormat="1">
      <c r="A43" s="42">
        <f t="shared" si="0"/>
        <v>60</v>
      </c>
      <c r="B43" s="1443">
        <v>58.87</v>
      </c>
      <c r="C43" s="1417">
        <v>59.21</v>
      </c>
      <c r="D43" s="1417">
        <v>60.51</v>
      </c>
      <c r="E43" s="1417">
        <v>60.09</v>
      </c>
      <c r="F43" s="1417">
        <v>61.34</v>
      </c>
      <c r="G43" s="1417">
        <v>58.87</v>
      </c>
      <c r="H43" s="1417">
        <v>58.87</v>
      </c>
      <c r="I43" s="1417">
        <v>60.93</v>
      </c>
      <c r="J43" s="1417">
        <v>61.34</v>
      </c>
      <c r="K43" s="1417">
        <v>60.09</v>
      </c>
      <c r="L43" s="1444">
        <v>60.51</v>
      </c>
      <c r="M43" s="1445">
        <v>57.14</v>
      </c>
      <c r="N43" s="1417">
        <v>55.69</v>
      </c>
      <c r="O43" s="1417">
        <v>58.21</v>
      </c>
      <c r="P43" s="1417">
        <v>57.83</v>
      </c>
      <c r="Q43" s="1417">
        <v>59.38</v>
      </c>
      <c r="R43" s="1417">
        <v>63.47</v>
      </c>
      <c r="S43" s="1417">
        <v>66.2</v>
      </c>
      <c r="T43" s="1446">
        <v>59.04</v>
      </c>
      <c r="U43" s="1443">
        <v>61.42</v>
      </c>
      <c r="V43" s="1417">
        <v>61.88</v>
      </c>
      <c r="W43" s="1417">
        <v>63.26</v>
      </c>
      <c r="X43" s="1417">
        <v>62.8</v>
      </c>
      <c r="Y43" s="1417">
        <v>64.180000000000007</v>
      </c>
      <c r="Z43" s="1417">
        <v>61.42</v>
      </c>
      <c r="AA43" s="1417">
        <v>61.42</v>
      </c>
      <c r="AB43" s="1417">
        <v>63.72</v>
      </c>
      <c r="AC43" s="1417">
        <v>64.180000000000007</v>
      </c>
      <c r="AD43" s="1417">
        <v>63.26</v>
      </c>
      <c r="AE43" s="1444">
        <v>63.26</v>
      </c>
      <c r="AF43" s="1445">
        <v>60.96</v>
      </c>
      <c r="AG43" s="1417">
        <v>59.58</v>
      </c>
      <c r="AH43" s="1417">
        <v>62.34</v>
      </c>
      <c r="AI43" s="1417">
        <v>61.88</v>
      </c>
      <c r="AJ43" s="1417">
        <v>63.72</v>
      </c>
      <c r="AK43" s="1417">
        <v>67.17</v>
      </c>
      <c r="AL43" s="1417">
        <v>68.319999999999993</v>
      </c>
      <c r="AM43" s="1446">
        <v>63.26</v>
      </c>
      <c r="AN43" s="54"/>
    </row>
    <row r="44" spans="1:40">
      <c r="A44" s="118">
        <f t="shared" si="0"/>
        <v>59</v>
      </c>
      <c r="B44" s="1447">
        <v>57.84</v>
      </c>
      <c r="C44" s="1422">
        <v>58.52</v>
      </c>
      <c r="D44" s="1422">
        <v>59.21</v>
      </c>
      <c r="E44" s="1422">
        <v>59.21</v>
      </c>
      <c r="F44" s="1422">
        <v>60.09</v>
      </c>
      <c r="G44" s="1422">
        <v>57.84</v>
      </c>
      <c r="H44" s="1422">
        <v>57.84</v>
      </c>
      <c r="I44" s="1422">
        <v>60.09</v>
      </c>
      <c r="J44" s="1422">
        <v>60.09</v>
      </c>
      <c r="K44" s="1422">
        <v>59.65</v>
      </c>
      <c r="L44" s="1448">
        <v>59.21</v>
      </c>
      <c r="M44" s="1449">
        <v>56.16</v>
      </c>
      <c r="N44" s="1422">
        <v>54.83</v>
      </c>
      <c r="O44" s="1422">
        <v>57.83</v>
      </c>
      <c r="P44" s="1422">
        <v>57.14</v>
      </c>
      <c r="Q44" s="1422">
        <v>58.72</v>
      </c>
      <c r="R44" s="1422">
        <v>63.23</v>
      </c>
      <c r="S44" s="1422">
        <v>65.69</v>
      </c>
      <c r="T44" s="1450">
        <v>57.83</v>
      </c>
      <c r="U44" s="1447">
        <v>60.04</v>
      </c>
      <c r="V44" s="1422">
        <v>60.96</v>
      </c>
      <c r="W44" s="1422">
        <v>61.88</v>
      </c>
      <c r="X44" s="1422">
        <v>61.88</v>
      </c>
      <c r="Y44" s="1422">
        <v>62.8</v>
      </c>
      <c r="Z44" s="1422">
        <v>60.04</v>
      </c>
      <c r="AA44" s="1422">
        <v>60.04</v>
      </c>
      <c r="AB44" s="1422">
        <v>62.8</v>
      </c>
      <c r="AC44" s="1422">
        <v>62.8</v>
      </c>
      <c r="AD44" s="1422">
        <v>62.34</v>
      </c>
      <c r="AE44" s="1448">
        <v>61.88</v>
      </c>
      <c r="AF44" s="1449">
        <v>60.04</v>
      </c>
      <c r="AG44" s="1422">
        <v>58.66</v>
      </c>
      <c r="AH44" s="1422">
        <v>61.88</v>
      </c>
      <c r="AI44" s="1422">
        <v>60.96</v>
      </c>
      <c r="AJ44" s="1422">
        <v>62.8</v>
      </c>
      <c r="AK44" s="1422">
        <v>67.06</v>
      </c>
      <c r="AL44" s="1422">
        <v>68.09</v>
      </c>
      <c r="AM44" s="1450">
        <v>61.88</v>
      </c>
    </row>
    <row r="45" spans="1:40">
      <c r="A45" s="118">
        <f t="shared" si="0"/>
        <v>58</v>
      </c>
      <c r="B45" s="1447">
        <v>57.38</v>
      </c>
      <c r="C45" s="1422">
        <v>57.84</v>
      </c>
      <c r="D45" s="1422">
        <v>58.17</v>
      </c>
      <c r="E45" s="1422">
        <v>57.84</v>
      </c>
      <c r="F45" s="1422">
        <v>58.87</v>
      </c>
      <c r="G45" s="1422">
        <v>56.96</v>
      </c>
      <c r="H45" s="1422">
        <v>56.62</v>
      </c>
      <c r="I45" s="1422">
        <v>59.21</v>
      </c>
      <c r="J45" s="1422">
        <v>58.87</v>
      </c>
      <c r="K45" s="1422">
        <v>58.52</v>
      </c>
      <c r="L45" s="1448">
        <v>58.17</v>
      </c>
      <c r="M45" s="1449">
        <v>54.83</v>
      </c>
      <c r="N45" s="1422">
        <v>53.75</v>
      </c>
      <c r="O45" s="1422">
        <v>57.14</v>
      </c>
      <c r="P45" s="1422">
        <v>56.16</v>
      </c>
      <c r="Q45" s="1422">
        <v>57.48</v>
      </c>
      <c r="R45" s="1422">
        <v>63</v>
      </c>
      <c r="S45" s="1422">
        <v>65.180000000000007</v>
      </c>
      <c r="T45" s="1450">
        <v>56.59</v>
      </c>
      <c r="U45" s="1447">
        <v>59.58</v>
      </c>
      <c r="V45" s="1422">
        <v>60.04</v>
      </c>
      <c r="W45" s="1422">
        <v>60.5</v>
      </c>
      <c r="X45" s="1422">
        <v>60.04</v>
      </c>
      <c r="Y45" s="1422">
        <v>61.42</v>
      </c>
      <c r="Z45" s="1422">
        <v>59.12</v>
      </c>
      <c r="AA45" s="1422">
        <v>58.66</v>
      </c>
      <c r="AB45" s="1422">
        <v>61.88</v>
      </c>
      <c r="AC45" s="1422">
        <v>61.42</v>
      </c>
      <c r="AD45" s="1422">
        <v>61.88</v>
      </c>
      <c r="AE45" s="1448">
        <v>60.5</v>
      </c>
      <c r="AF45" s="1449">
        <v>58.66</v>
      </c>
      <c r="AG45" s="1422">
        <v>57.28</v>
      </c>
      <c r="AH45" s="1422">
        <v>60.96</v>
      </c>
      <c r="AI45" s="1422">
        <v>60.04</v>
      </c>
      <c r="AJ45" s="1422">
        <v>61.42</v>
      </c>
      <c r="AK45" s="1422">
        <v>66.94</v>
      </c>
      <c r="AL45" s="1422">
        <v>67.86</v>
      </c>
      <c r="AM45" s="1450">
        <v>60.5</v>
      </c>
    </row>
    <row r="46" spans="1:40">
      <c r="A46" s="118">
        <f t="shared" si="0"/>
        <v>57</v>
      </c>
      <c r="B46" s="1447">
        <v>56.25</v>
      </c>
      <c r="C46" s="1422">
        <v>57.38</v>
      </c>
      <c r="D46" s="1422">
        <v>56.62</v>
      </c>
      <c r="E46" s="1422">
        <v>56.25</v>
      </c>
      <c r="F46" s="1422">
        <v>57.38</v>
      </c>
      <c r="G46" s="1422">
        <v>55.85</v>
      </c>
      <c r="H46" s="1422">
        <v>55.85</v>
      </c>
      <c r="I46" s="1422">
        <v>58.17</v>
      </c>
      <c r="J46" s="1422">
        <v>58.17</v>
      </c>
      <c r="K46" s="1422">
        <v>57.38</v>
      </c>
      <c r="L46" s="1448">
        <v>56.62</v>
      </c>
      <c r="M46" s="1449">
        <v>54.08</v>
      </c>
      <c r="N46" s="1422">
        <v>52.94</v>
      </c>
      <c r="O46" s="1422">
        <v>56.86</v>
      </c>
      <c r="P46" s="1422">
        <v>55.69</v>
      </c>
      <c r="Q46" s="1422">
        <v>55.69</v>
      </c>
      <c r="R46" s="1422">
        <v>62.66</v>
      </c>
      <c r="S46" s="1422">
        <v>63</v>
      </c>
      <c r="T46" s="1450">
        <v>55.69</v>
      </c>
      <c r="U46" s="1447">
        <v>58.2</v>
      </c>
      <c r="V46" s="1422">
        <v>59.58</v>
      </c>
      <c r="W46" s="1422">
        <v>58.66</v>
      </c>
      <c r="X46" s="1422">
        <v>58.2</v>
      </c>
      <c r="Y46" s="1422">
        <v>59.58</v>
      </c>
      <c r="Z46" s="1422">
        <v>57.74</v>
      </c>
      <c r="AA46" s="1422">
        <v>57.74</v>
      </c>
      <c r="AB46" s="1422">
        <v>60.5</v>
      </c>
      <c r="AC46" s="1422">
        <v>60.5</v>
      </c>
      <c r="AD46" s="1422">
        <v>60.04</v>
      </c>
      <c r="AE46" s="1448">
        <v>58.66</v>
      </c>
      <c r="AF46" s="1449">
        <v>57.74</v>
      </c>
      <c r="AG46" s="1422">
        <v>56.36</v>
      </c>
      <c r="AH46" s="1422">
        <v>60.73</v>
      </c>
      <c r="AI46" s="1422">
        <v>59.58</v>
      </c>
      <c r="AJ46" s="1422">
        <v>59.58</v>
      </c>
      <c r="AK46" s="1422">
        <v>66.709999999999994</v>
      </c>
      <c r="AL46" s="1422">
        <v>66.94</v>
      </c>
      <c r="AM46" s="1450">
        <v>59.58</v>
      </c>
    </row>
    <row r="47" spans="1:40">
      <c r="A47" s="118">
        <f t="shared" si="0"/>
        <v>56</v>
      </c>
      <c r="B47" s="1447">
        <v>55.35</v>
      </c>
      <c r="C47" s="1422">
        <v>56.96</v>
      </c>
      <c r="D47" s="1422">
        <v>55.35</v>
      </c>
      <c r="E47" s="1422">
        <v>54.93</v>
      </c>
      <c r="G47" s="1422">
        <v>54.93</v>
      </c>
      <c r="H47" s="1422">
        <v>55.35</v>
      </c>
      <c r="I47" s="1422">
        <v>57.38</v>
      </c>
      <c r="J47" s="1422">
        <v>56.96</v>
      </c>
      <c r="K47" s="1422">
        <v>56.62</v>
      </c>
      <c r="L47" s="1448">
        <v>54.55</v>
      </c>
      <c r="M47" s="1449">
        <v>53.31</v>
      </c>
      <c r="N47" s="1422">
        <v>52.43</v>
      </c>
      <c r="O47" s="1422">
        <v>56.59</v>
      </c>
      <c r="P47" s="1422">
        <v>54.83</v>
      </c>
      <c r="Q47" s="1422">
        <v>54.83</v>
      </c>
      <c r="R47" s="1422">
        <v>62.33</v>
      </c>
      <c r="S47" s="1422">
        <v>62.33</v>
      </c>
      <c r="T47" s="1450">
        <v>54.83</v>
      </c>
      <c r="U47" s="1447">
        <v>57.28</v>
      </c>
      <c r="V47" s="1422">
        <v>59.12</v>
      </c>
      <c r="W47" s="1422">
        <v>57.28</v>
      </c>
      <c r="X47" s="1422">
        <v>56.82</v>
      </c>
      <c r="Y47" s="121"/>
      <c r="Z47" s="1422">
        <v>56.82</v>
      </c>
      <c r="AA47" s="1422">
        <v>57.28</v>
      </c>
      <c r="AB47" s="1422">
        <v>59.58</v>
      </c>
      <c r="AC47" s="1422">
        <v>59.12</v>
      </c>
      <c r="AD47" s="1422">
        <v>59.12</v>
      </c>
      <c r="AE47" s="1448">
        <v>56.36</v>
      </c>
      <c r="AF47" s="1449">
        <v>56.82</v>
      </c>
      <c r="AG47" s="1422">
        <v>55.9</v>
      </c>
      <c r="AH47" s="1422">
        <v>60.5</v>
      </c>
      <c r="AI47" s="1422">
        <v>58.66</v>
      </c>
      <c r="AJ47" s="1422">
        <v>58.66</v>
      </c>
      <c r="AK47" s="1422">
        <v>66.48</v>
      </c>
      <c r="AL47" s="1422">
        <v>66.48</v>
      </c>
      <c r="AM47" s="1450">
        <v>58.66</v>
      </c>
    </row>
    <row r="48" spans="1:40">
      <c r="A48" s="118">
        <f t="shared" si="0"/>
        <v>55</v>
      </c>
      <c r="B48" s="1447">
        <v>54.93</v>
      </c>
      <c r="C48" s="1422">
        <v>56.25</v>
      </c>
      <c r="D48" s="1422">
        <v>54.55</v>
      </c>
      <c r="E48" s="1422">
        <v>54.18</v>
      </c>
      <c r="F48" s="1422">
        <v>55.85</v>
      </c>
      <c r="G48" s="1422">
        <v>54.18</v>
      </c>
      <c r="H48" s="1422">
        <v>54.18</v>
      </c>
      <c r="I48" s="1422">
        <v>56.25</v>
      </c>
      <c r="J48" s="1422">
        <v>55.35</v>
      </c>
      <c r="K48" s="1422">
        <v>55.85</v>
      </c>
      <c r="L48" s="1448">
        <v>53.44</v>
      </c>
      <c r="M48" s="1449">
        <v>52.43</v>
      </c>
      <c r="N48" s="1422">
        <v>51.69</v>
      </c>
      <c r="O48" s="1422">
        <v>56.16</v>
      </c>
      <c r="P48" s="1422">
        <v>54.08</v>
      </c>
      <c r="Q48" s="1422">
        <v>53.75</v>
      </c>
      <c r="R48" s="1422">
        <v>61.7</v>
      </c>
      <c r="T48" s="1450">
        <v>54.08</v>
      </c>
      <c r="U48" s="1447">
        <v>56.82</v>
      </c>
      <c r="V48" s="1422">
        <v>58.2</v>
      </c>
      <c r="W48" s="1422">
        <v>56.36</v>
      </c>
      <c r="X48" s="1422">
        <v>55.9</v>
      </c>
      <c r="Y48" s="1422">
        <v>57.74</v>
      </c>
      <c r="Z48" s="1422">
        <v>55.9</v>
      </c>
      <c r="AA48" s="1422">
        <v>55.9</v>
      </c>
      <c r="AB48" s="1422">
        <v>58.2</v>
      </c>
      <c r="AC48" s="1422">
        <v>57.28</v>
      </c>
      <c r="AD48" s="1422">
        <v>58.2</v>
      </c>
      <c r="AE48" s="1448">
        <v>54.98</v>
      </c>
      <c r="AF48" s="1449">
        <v>55.9</v>
      </c>
      <c r="AG48" s="1422">
        <v>54.98</v>
      </c>
      <c r="AH48" s="1422">
        <v>60.04</v>
      </c>
      <c r="AI48" s="1422">
        <v>57.74</v>
      </c>
      <c r="AJ48" s="1422">
        <v>57.28</v>
      </c>
      <c r="AK48" s="1422">
        <v>66.02</v>
      </c>
      <c r="AL48" s="121"/>
      <c r="AM48" s="1450">
        <v>57.74</v>
      </c>
    </row>
    <row r="49" spans="1:40">
      <c r="A49" s="118">
        <f t="shared" si="0"/>
        <v>54</v>
      </c>
      <c r="B49" s="1447">
        <v>54.18</v>
      </c>
      <c r="C49" s="1422">
        <v>55.35</v>
      </c>
      <c r="D49" s="1422">
        <v>53.44</v>
      </c>
      <c r="E49" s="1422">
        <v>53.08</v>
      </c>
      <c r="F49" s="1422">
        <v>54.55</v>
      </c>
      <c r="G49" s="1422">
        <v>53.44</v>
      </c>
      <c r="H49" s="1422">
        <v>53.44</v>
      </c>
      <c r="I49" s="1422">
        <v>55.35</v>
      </c>
      <c r="J49" s="1422">
        <v>54.18</v>
      </c>
      <c r="K49" s="1422">
        <v>55.35</v>
      </c>
      <c r="L49" s="1448">
        <v>52.32</v>
      </c>
      <c r="M49" s="1449">
        <v>52.02</v>
      </c>
      <c r="N49" s="1422">
        <v>50.93</v>
      </c>
      <c r="O49" s="1422">
        <v>55.69</v>
      </c>
      <c r="P49" s="1422">
        <v>52.94</v>
      </c>
      <c r="Q49" s="1422">
        <v>52.94</v>
      </c>
      <c r="R49" s="1422">
        <v>60.7</v>
      </c>
      <c r="S49" s="1422">
        <v>60.7</v>
      </c>
      <c r="T49" s="1450">
        <v>52.94</v>
      </c>
      <c r="U49" s="1447">
        <v>55.9</v>
      </c>
      <c r="V49" s="1422">
        <v>57.28</v>
      </c>
      <c r="W49" s="1422">
        <v>54.98</v>
      </c>
      <c r="X49" s="1422">
        <v>54.52</v>
      </c>
      <c r="Y49" s="1422">
        <v>56.36</v>
      </c>
      <c r="Z49" s="1422">
        <v>54.98</v>
      </c>
      <c r="AA49" s="1422">
        <v>54.98</v>
      </c>
      <c r="AB49" s="1422">
        <v>57.28</v>
      </c>
      <c r="AC49" s="1422">
        <v>55.9</v>
      </c>
      <c r="AD49" s="1422">
        <v>57.28</v>
      </c>
      <c r="AE49" s="1448">
        <v>53.6</v>
      </c>
      <c r="AF49" s="1449">
        <v>55.44</v>
      </c>
      <c r="AG49" s="1422">
        <v>54.06</v>
      </c>
      <c r="AH49" s="1422">
        <v>59.58</v>
      </c>
      <c r="AI49" s="1422">
        <v>56.36</v>
      </c>
      <c r="AJ49" s="1422">
        <v>56.36</v>
      </c>
      <c r="AK49" s="1422">
        <v>65.099999999999994</v>
      </c>
      <c r="AL49" s="1422">
        <v>65.099999999999994</v>
      </c>
      <c r="AM49" s="1450">
        <v>56.36</v>
      </c>
    </row>
    <row r="50" spans="1:40">
      <c r="A50" s="118">
        <f t="shared" si="0"/>
        <v>53</v>
      </c>
      <c r="B50" s="1447">
        <v>53.44</v>
      </c>
      <c r="C50" s="1422">
        <v>54.55</v>
      </c>
      <c r="D50" s="1422">
        <v>52.72</v>
      </c>
      <c r="E50" s="1422">
        <v>52.32</v>
      </c>
      <c r="F50" s="1422">
        <v>53.08</v>
      </c>
      <c r="G50" s="1422">
        <v>52.32</v>
      </c>
      <c r="H50" s="1422">
        <v>52.72</v>
      </c>
      <c r="I50" s="1422">
        <v>53.44</v>
      </c>
      <c r="J50" s="1422">
        <v>53.08</v>
      </c>
      <c r="K50" s="1422">
        <v>54.18</v>
      </c>
      <c r="L50" s="1448">
        <v>51.24</v>
      </c>
      <c r="M50" s="1449">
        <v>51.34</v>
      </c>
      <c r="N50" s="1422">
        <v>50.26</v>
      </c>
      <c r="O50" s="1422">
        <v>55.22</v>
      </c>
      <c r="P50" s="1422">
        <v>52.43</v>
      </c>
      <c r="Q50" s="1422">
        <v>51.69</v>
      </c>
      <c r="R50" s="1422">
        <v>59.81</v>
      </c>
      <c r="S50" s="1422">
        <v>59.38</v>
      </c>
      <c r="T50" s="1450">
        <v>52.02</v>
      </c>
      <c r="U50" s="1447">
        <v>54.98</v>
      </c>
      <c r="V50" s="1422">
        <v>56.36</v>
      </c>
      <c r="W50" s="1422">
        <v>54.06</v>
      </c>
      <c r="X50" s="1422">
        <v>53.6</v>
      </c>
      <c r="Y50" s="1422">
        <v>54.52</v>
      </c>
      <c r="Z50" s="1422">
        <v>53.6</v>
      </c>
      <c r="AA50" s="1422">
        <v>54.06</v>
      </c>
      <c r="AB50" s="1422">
        <v>54.98</v>
      </c>
      <c r="AC50" s="1422">
        <v>54.52</v>
      </c>
      <c r="AD50" s="1422">
        <v>56.82</v>
      </c>
      <c r="AE50" s="1448">
        <v>52.22</v>
      </c>
      <c r="AF50" s="1449">
        <v>54.52</v>
      </c>
      <c r="AG50" s="1422">
        <v>53.14</v>
      </c>
      <c r="AH50" s="1422">
        <v>59.12</v>
      </c>
      <c r="AI50" s="1422">
        <v>55.9</v>
      </c>
      <c r="AJ50" s="1422">
        <v>54.98</v>
      </c>
      <c r="AK50" s="1422">
        <v>64.180000000000007</v>
      </c>
      <c r="AL50" s="1422">
        <v>63.72</v>
      </c>
      <c r="AM50" s="1450">
        <v>55.44</v>
      </c>
    </row>
    <row r="51" spans="1:40">
      <c r="A51" s="118">
        <f t="shared" si="0"/>
        <v>52</v>
      </c>
      <c r="B51" s="1447">
        <v>52.72</v>
      </c>
      <c r="C51" s="1422">
        <v>53.8</v>
      </c>
      <c r="D51" s="1422">
        <v>51.63</v>
      </c>
      <c r="E51" s="1422">
        <v>50.85</v>
      </c>
      <c r="F51" s="1422">
        <v>51.63</v>
      </c>
      <c r="G51" s="1422">
        <v>51.94</v>
      </c>
      <c r="H51" s="1422">
        <v>51.94</v>
      </c>
      <c r="I51" s="1422">
        <v>51.63</v>
      </c>
      <c r="J51" s="1422">
        <v>51.63</v>
      </c>
      <c r="K51" s="1422">
        <v>53.08</v>
      </c>
      <c r="L51" s="1448">
        <v>50.21</v>
      </c>
      <c r="M51" s="1449">
        <v>50.93</v>
      </c>
      <c r="N51" s="1422">
        <v>49.91</v>
      </c>
      <c r="O51" s="1422">
        <v>54.45</v>
      </c>
      <c r="P51" s="1422">
        <v>51.69</v>
      </c>
      <c r="Q51" s="1422">
        <v>50.93</v>
      </c>
      <c r="R51" s="1422">
        <v>58.21</v>
      </c>
      <c r="S51" s="1422">
        <v>57.48</v>
      </c>
      <c r="T51" s="1450">
        <v>50.93</v>
      </c>
      <c r="U51" s="1447">
        <v>54.06</v>
      </c>
      <c r="V51" s="1422">
        <v>55.44</v>
      </c>
      <c r="W51" s="1422">
        <v>52.68</v>
      </c>
      <c r="X51" s="1422">
        <v>51.76</v>
      </c>
      <c r="Y51" s="1422">
        <v>52.68</v>
      </c>
      <c r="Z51" s="1422">
        <v>53.14</v>
      </c>
      <c r="AA51" s="1422">
        <v>53.14</v>
      </c>
      <c r="AB51" s="1422">
        <v>52.68</v>
      </c>
      <c r="AC51" s="1422">
        <v>52.68</v>
      </c>
      <c r="AD51" s="1422">
        <v>55.44</v>
      </c>
      <c r="AE51" s="1448">
        <v>50.84</v>
      </c>
      <c r="AF51" s="1449">
        <v>54.06</v>
      </c>
      <c r="AG51" s="1422">
        <v>52.68</v>
      </c>
      <c r="AH51" s="1422">
        <v>58.2</v>
      </c>
      <c r="AI51" s="1422">
        <v>54.98</v>
      </c>
      <c r="AJ51" s="1422">
        <v>54.05</v>
      </c>
      <c r="AK51" s="1422">
        <v>62.34</v>
      </c>
      <c r="AL51" s="1422">
        <v>61.42</v>
      </c>
      <c r="AM51" s="1450">
        <v>54.06</v>
      </c>
    </row>
    <row r="52" spans="1:40" s="7" customFormat="1" ht="14.25" thickBot="1">
      <c r="A52" s="43">
        <f t="shared" si="0"/>
        <v>51</v>
      </c>
      <c r="B52" s="1451">
        <v>52.32</v>
      </c>
      <c r="C52" s="1427">
        <v>52.72</v>
      </c>
      <c r="D52" s="1427">
        <v>50.85</v>
      </c>
      <c r="E52" s="1427">
        <v>49.59</v>
      </c>
      <c r="F52" s="1427">
        <v>49.91</v>
      </c>
      <c r="G52" s="1427">
        <v>50.85</v>
      </c>
      <c r="H52" s="1427">
        <v>51.24</v>
      </c>
      <c r="I52" s="1427">
        <v>50.51</v>
      </c>
      <c r="J52" s="1427"/>
      <c r="K52" s="1427">
        <v>51.63</v>
      </c>
      <c r="L52" s="1452">
        <v>48.93</v>
      </c>
      <c r="M52" s="1453">
        <v>50.56</v>
      </c>
      <c r="N52" s="1427">
        <v>49.5</v>
      </c>
      <c r="O52" s="1427">
        <v>53.75</v>
      </c>
      <c r="P52" s="1427">
        <v>50.93</v>
      </c>
      <c r="Q52" s="1427">
        <v>49.5</v>
      </c>
      <c r="R52" s="1427">
        <v>56.59</v>
      </c>
      <c r="S52" s="1427">
        <v>55.22</v>
      </c>
      <c r="T52" s="1454">
        <v>49.5</v>
      </c>
      <c r="U52" s="1451">
        <v>53.6</v>
      </c>
      <c r="V52" s="1427">
        <v>54.06</v>
      </c>
      <c r="W52" s="1427">
        <v>51.76</v>
      </c>
      <c r="X52" s="1427">
        <v>49.92</v>
      </c>
      <c r="Y52" s="1427">
        <v>50.38</v>
      </c>
      <c r="Z52" s="1427">
        <v>51.76</v>
      </c>
      <c r="AA52" s="1427">
        <v>52.22</v>
      </c>
      <c r="AB52" s="1427">
        <v>51.3</v>
      </c>
      <c r="AC52" s="126"/>
      <c r="AD52" s="1427">
        <v>53.6</v>
      </c>
      <c r="AE52" s="1452">
        <v>49</v>
      </c>
      <c r="AF52" s="1453">
        <v>53.6</v>
      </c>
      <c r="AG52" s="1427">
        <v>52.22</v>
      </c>
      <c r="AH52" s="1427">
        <v>57.28</v>
      </c>
      <c r="AI52" s="1427">
        <v>54.06</v>
      </c>
      <c r="AJ52" s="1427">
        <v>52.22</v>
      </c>
      <c r="AK52" s="1427">
        <v>60.5</v>
      </c>
      <c r="AL52" s="1427">
        <v>59.12</v>
      </c>
      <c r="AM52" s="1454">
        <v>52.22</v>
      </c>
      <c r="AN52" s="55"/>
    </row>
    <row r="53" spans="1:40" s="17" customFormat="1">
      <c r="A53" s="44">
        <f t="shared" si="0"/>
        <v>50</v>
      </c>
      <c r="B53" s="1455">
        <v>51.24</v>
      </c>
      <c r="C53" s="1432">
        <v>51.94</v>
      </c>
      <c r="D53" s="1432">
        <v>49.25</v>
      </c>
      <c r="E53" s="1432">
        <v>48.93</v>
      </c>
      <c r="F53" s="1432">
        <v>48.64</v>
      </c>
      <c r="G53" s="1432">
        <v>49.91</v>
      </c>
      <c r="H53" s="1432">
        <v>50.21</v>
      </c>
      <c r="I53" s="1432">
        <v>49.59</v>
      </c>
      <c r="J53" s="1432">
        <v>50.51</v>
      </c>
      <c r="K53" s="1432">
        <v>50.85</v>
      </c>
      <c r="L53" s="1456">
        <v>47.81</v>
      </c>
      <c r="M53" s="1457">
        <v>49.91</v>
      </c>
      <c r="N53" s="1432">
        <v>48.91</v>
      </c>
      <c r="O53" s="1432">
        <v>53.31</v>
      </c>
      <c r="P53" s="1432">
        <v>50.26</v>
      </c>
      <c r="Q53" s="1432">
        <v>48.64</v>
      </c>
      <c r="R53" s="1432">
        <v>54.08</v>
      </c>
      <c r="S53" s="1432">
        <v>52.94</v>
      </c>
      <c r="T53" s="1458">
        <v>48.37</v>
      </c>
      <c r="U53" s="1455">
        <v>52.22</v>
      </c>
      <c r="V53" s="1432">
        <v>53.14</v>
      </c>
      <c r="W53" s="1432">
        <v>49.46</v>
      </c>
      <c r="X53" s="1432">
        <v>49</v>
      </c>
      <c r="Y53" s="1432">
        <v>48.54</v>
      </c>
      <c r="Z53" s="1432">
        <v>50.38</v>
      </c>
      <c r="AA53" s="1432">
        <v>50.84</v>
      </c>
      <c r="AB53" s="1432">
        <v>49.92</v>
      </c>
      <c r="AC53" s="1432">
        <v>51.3</v>
      </c>
      <c r="AD53" s="1432">
        <v>52.22</v>
      </c>
      <c r="AE53" s="1456">
        <v>47.16</v>
      </c>
      <c r="AF53" s="1457">
        <v>52.68</v>
      </c>
      <c r="AG53" s="1432">
        <v>51.3</v>
      </c>
      <c r="AH53" s="1432">
        <v>56.82</v>
      </c>
      <c r="AI53" s="1432">
        <v>53.14</v>
      </c>
      <c r="AJ53" s="1432">
        <v>50.84</v>
      </c>
      <c r="AK53" s="1432">
        <v>57.74</v>
      </c>
      <c r="AL53" s="1432">
        <v>56.36</v>
      </c>
      <c r="AM53" s="1458">
        <v>50.38</v>
      </c>
      <c r="AN53" s="56"/>
    </row>
    <row r="54" spans="1:40">
      <c r="A54" s="118">
        <f t="shared" si="0"/>
        <v>49</v>
      </c>
      <c r="B54" s="1447">
        <v>50.51</v>
      </c>
      <c r="C54" s="1422">
        <v>50.85</v>
      </c>
      <c r="D54" s="1422">
        <v>48.09</v>
      </c>
      <c r="E54" s="1422">
        <v>48.09</v>
      </c>
      <c r="F54" s="1422">
        <v>47.51</v>
      </c>
      <c r="G54" s="1422">
        <v>49.25</v>
      </c>
      <c r="H54" s="1422">
        <v>49.59</v>
      </c>
      <c r="I54" s="1422">
        <v>48.37</v>
      </c>
      <c r="J54" s="1422">
        <v>49.25</v>
      </c>
      <c r="K54" s="1422">
        <v>49.91</v>
      </c>
      <c r="L54" s="1448">
        <v>47.24</v>
      </c>
      <c r="M54" s="1449">
        <v>49.5</v>
      </c>
      <c r="N54" s="1422">
        <v>48.37</v>
      </c>
      <c r="O54" s="1422">
        <v>52.43</v>
      </c>
      <c r="P54" s="1422">
        <v>49.21</v>
      </c>
      <c r="Q54" s="1422">
        <v>47.76</v>
      </c>
      <c r="R54" s="1422">
        <v>51.34</v>
      </c>
      <c r="S54" s="1422">
        <v>49.91</v>
      </c>
      <c r="T54" s="1450">
        <v>47.49</v>
      </c>
      <c r="U54" s="1447">
        <v>51.3</v>
      </c>
      <c r="V54" s="1422">
        <v>51.76</v>
      </c>
      <c r="W54" s="1422">
        <v>47.62</v>
      </c>
      <c r="X54" s="1422">
        <v>47.62</v>
      </c>
      <c r="Y54" s="1422">
        <v>46.7</v>
      </c>
      <c r="Z54" s="1422">
        <v>49.46</v>
      </c>
      <c r="AA54" s="1422">
        <v>49.92</v>
      </c>
      <c r="AB54" s="1422">
        <v>48.08</v>
      </c>
      <c r="AC54" s="1422">
        <v>49.46</v>
      </c>
      <c r="AD54" s="1422">
        <v>50.84</v>
      </c>
      <c r="AE54" s="1448">
        <v>46.24</v>
      </c>
      <c r="AF54" s="1449">
        <v>52.22</v>
      </c>
      <c r="AG54" s="1422">
        <v>50.38</v>
      </c>
      <c r="AH54" s="1422">
        <v>55.9</v>
      </c>
      <c r="AI54" s="1422">
        <v>51.76</v>
      </c>
      <c r="AJ54" s="1422">
        <v>49.46</v>
      </c>
      <c r="AK54" s="1422">
        <v>54.52</v>
      </c>
      <c r="AL54" s="1422">
        <v>52.68</v>
      </c>
      <c r="AM54" s="1450">
        <v>49</v>
      </c>
    </row>
    <row r="55" spans="1:40">
      <c r="A55" s="118">
        <f t="shared" si="0"/>
        <v>48</v>
      </c>
      <c r="B55" s="1447">
        <v>49.59</v>
      </c>
      <c r="C55" s="1422">
        <v>49.91</v>
      </c>
      <c r="D55" s="1422">
        <v>47.51</v>
      </c>
      <c r="E55" s="1422">
        <v>47.24</v>
      </c>
      <c r="F55" s="1422">
        <v>46.11</v>
      </c>
      <c r="G55" s="1422">
        <v>48.37</v>
      </c>
      <c r="H55" s="1422">
        <v>48.93</v>
      </c>
      <c r="I55" s="1422">
        <v>47.51</v>
      </c>
      <c r="J55" s="1422">
        <v>48.09</v>
      </c>
      <c r="K55" s="1422">
        <v>48.93</v>
      </c>
      <c r="L55" s="1448">
        <v>46.38</v>
      </c>
      <c r="M55" s="1449">
        <v>48.91</v>
      </c>
      <c r="N55" s="1422">
        <v>47.76</v>
      </c>
      <c r="O55" s="1422">
        <v>50.56</v>
      </c>
      <c r="P55" s="1422">
        <v>48.37</v>
      </c>
      <c r="Q55" s="1422">
        <v>47.22</v>
      </c>
      <c r="R55" s="1422">
        <v>48.37</v>
      </c>
      <c r="S55" s="1422">
        <v>47.49</v>
      </c>
      <c r="T55" s="1450">
        <v>46.72</v>
      </c>
      <c r="U55" s="1447">
        <v>49.92</v>
      </c>
      <c r="V55" s="1422">
        <v>50.38</v>
      </c>
      <c r="W55" s="1422">
        <v>46.7</v>
      </c>
      <c r="X55" s="1422">
        <v>46.24</v>
      </c>
      <c r="Y55" s="1422">
        <v>44.4</v>
      </c>
      <c r="Z55" s="1422">
        <v>48.08</v>
      </c>
      <c r="AA55" s="1422">
        <v>49</v>
      </c>
      <c r="AB55" s="1422">
        <v>46.7</v>
      </c>
      <c r="AC55" s="1422">
        <v>47.62</v>
      </c>
      <c r="AD55" s="1422">
        <v>49.92</v>
      </c>
      <c r="AE55" s="1448">
        <v>44.86</v>
      </c>
      <c r="AF55" s="1449">
        <v>51.3</v>
      </c>
      <c r="AG55" s="1422">
        <v>49.46</v>
      </c>
      <c r="AH55" s="1422">
        <v>53.6</v>
      </c>
      <c r="AI55" s="1422">
        <v>50.38</v>
      </c>
      <c r="AJ55" s="1422">
        <v>48.54</v>
      </c>
      <c r="AK55" s="1422">
        <v>50.38</v>
      </c>
      <c r="AL55" s="1422">
        <v>49</v>
      </c>
      <c r="AM55" s="1450">
        <v>47.62</v>
      </c>
    </row>
    <row r="56" spans="1:40">
      <c r="A56" s="118">
        <f t="shared" si="0"/>
        <v>47</v>
      </c>
      <c r="B56" s="1447">
        <v>48.64</v>
      </c>
      <c r="C56" s="1422">
        <v>48.93</v>
      </c>
      <c r="D56" s="1422">
        <v>46.64</v>
      </c>
      <c r="E56" s="1422">
        <v>46.64</v>
      </c>
      <c r="F56" s="1422">
        <v>45.01</v>
      </c>
      <c r="G56" s="1422">
        <v>47.24</v>
      </c>
      <c r="H56" s="1422">
        <v>48.09</v>
      </c>
      <c r="I56" s="1422">
        <v>46.38</v>
      </c>
      <c r="J56" s="1422">
        <v>46.94</v>
      </c>
      <c r="K56" s="1422">
        <v>48.09</v>
      </c>
      <c r="L56" s="1448">
        <v>45.81</v>
      </c>
      <c r="M56" s="1449">
        <v>48.06</v>
      </c>
      <c r="N56" s="1422">
        <v>46.98</v>
      </c>
      <c r="O56" s="1422">
        <v>48.91</v>
      </c>
      <c r="P56" s="1422">
        <v>47.76</v>
      </c>
      <c r="Q56" s="1422">
        <v>46.46</v>
      </c>
      <c r="R56" s="1422">
        <v>45.56</v>
      </c>
      <c r="S56" s="1422">
        <v>45.56</v>
      </c>
      <c r="T56" s="1450">
        <v>45.99</v>
      </c>
      <c r="U56" s="1447">
        <v>48.54</v>
      </c>
      <c r="V56" s="1422">
        <v>49</v>
      </c>
      <c r="W56" s="1422">
        <v>45.32</v>
      </c>
      <c r="X56" s="1422">
        <v>45.32</v>
      </c>
      <c r="Y56" s="1422">
        <v>42.56</v>
      </c>
      <c r="Z56" s="1422">
        <v>46.24</v>
      </c>
      <c r="AA56" s="1422">
        <v>47.62</v>
      </c>
      <c r="AB56" s="1422">
        <v>44.86</v>
      </c>
      <c r="AC56" s="1422">
        <v>45.78</v>
      </c>
      <c r="AD56" s="1422">
        <v>48.54</v>
      </c>
      <c r="AE56" s="1448">
        <v>43.94</v>
      </c>
      <c r="AF56" s="1449">
        <v>49.92</v>
      </c>
      <c r="AG56" s="1422">
        <v>48.08</v>
      </c>
      <c r="AH56" s="1422">
        <v>51.3</v>
      </c>
      <c r="AI56" s="1422">
        <v>49.46</v>
      </c>
      <c r="AJ56" s="1422">
        <v>47.16</v>
      </c>
      <c r="AK56" s="1422">
        <v>45.32</v>
      </c>
      <c r="AL56" s="1422">
        <v>45.32</v>
      </c>
      <c r="AM56" s="1450">
        <v>46.24</v>
      </c>
    </row>
    <row r="57" spans="1:40">
      <c r="A57" s="118">
        <f t="shared" si="0"/>
        <v>46</v>
      </c>
      <c r="B57" s="1447">
        <v>47.51</v>
      </c>
      <c r="C57" s="1422">
        <v>47.51</v>
      </c>
      <c r="D57" s="1422">
        <v>45.81</v>
      </c>
      <c r="E57" s="1422">
        <v>45.81</v>
      </c>
      <c r="F57" s="1422">
        <v>44.14</v>
      </c>
      <c r="G57" s="1422">
        <v>46.64</v>
      </c>
      <c r="H57" s="1422">
        <v>46.94</v>
      </c>
      <c r="I57" s="1422">
        <v>45.54</v>
      </c>
      <c r="J57" s="1422">
        <v>45.81</v>
      </c>
      <c r="K57" s="1422">
        <v>46.64</v>
      </c>
      <c r="L57" s="1448">
        <v>45.01</v>
      </c>
      <c r="M57" s="1449">
        <v>47.22</v>
      </c>
      <c r="N57" s="1422">
        <v>46.46</v>
      </c>
      <c r="O57" s="1422">
        <v>47.49</v>
      </c>
      <c r="P57" s="1422">
        <v>46.72</v>
      </c>
      <c r="Q57" s="1422">
        <v>45.78</v>
      </c>
      <c r="R57" s="1422">
        <v>43.84</v>
      </c>
      <c r="S57" s="1422">
        <v>43.84</v>
      </c>
      <c r="T57" s="1450">
        <v>45.17</v>
      </c>
      <c r="U57" s="1447">
        <v>46.7</v>
      </c>
      <c r="V57" s="1422">
        <v>46.7</v>
      </c>
      <c r="W57" s="1422">
        <v>43.94</v>
      </c>
      <c r="X57" s="1422">
        <v>43.94</v>
      </c>
      <c r="Y57" s="1422">
        <v>41.18</v>
      </c>
      <c r="Z57" s="1422">
        <v>45.32</v>
      </c>
      <c r="AA57" s="1422">
        <v>45.78</v>
      </c>
      <c r="AB57" s="1422">
        <v>43.48</v>
      </c>
      <c r="AC57" s="1422">
        <v>43.94</v>
      </c>
      <c r="AD57" s="1422">
        <v>47.16</v>
      </c>
      <c r="AE57" s="1448">
        <v>42.56</v>
      </c>
      <c r="AF57" s="1449">
        <v>48.54</v>
      </c>
      <c r="AG57" s="1422">
        <v>47.16</v>
      </c>
      <c r="AH57" s="1422">
        <v>49</v>
      </c>
      <c r="AI57" s="1422">
        <v>47.62</v>
      </c>
      <c r="AJ57" s="1422">
        <v>45.78</v>
      </c>
      <c r="AK57" s="1422">
        <v>40.72</v>
      </c>
      <c r="AL57" s="1422">
        <v>40.72</v>
      </c>
      <c r="AM57" s="1450">
        <v>44.4</v>
      </c>
    </row>
    <row r="58" spans="1:40">
      <c r="A58" s="118">
        <f t="shared" si="0"/>
        <v>45</v>
      </c>
      <c r="B58" s="1447">
        <v>46.38</v>
      </c>
      <c r="C58" s="1422">
        <v>46.11</v>
      </c>
      <c r="D58" s="1422">
        <v>45.01</v>
      </c>
      <c r="E58" s="1422">
        <v>44.73</v>
      </c>
      <c r="F58" s="1422">
        <v>43.17</v>
      </c>
      <c r="G58" s="1422">
        <v>45.54</v>
      </c>
      <c r="H58" s="1422">
        <v>45.81</v>
      </c>
      <c r="I58" s="1422">
        <v>44.44</v>
      </c>
      <c r="J58" s="1422">
        <v>44.73</v>
      </c>
      <c r="K58" s="1422">
        <v>45.28</v>
      </c>
      <c r="L58" s="1448">
        <v>44.14</v>
      </c>
      <c r="M58" s="1449">
        <v>46.22</v>
      </c>
      <c r="N58" s="1422">
        <v>45.78</v>
      </c>
      <c r="O58" s="1422">
        <v>46.22</v>
      </c>
      <c r="P58" s="1422">
        <v>45.78</v>
      </c>
      <c r="Q58" s="1422">
        <v>45.34</v>
      </c>
      <c r="R58" s="1422">
        <v>42.35</v>
      </c>
      <c r="T58" s="1450">
        <v>44.62</v>
      </c>
      <c r="U58" s="1447">
        <v>44.86</v>
      </c>
      <c r="V58" s="1422">
        <v>44.4</v>
      </c>
      <c r="W58" s="1422">
        <v>42.56</v>
      </c>
      <c r="X58" s="1422">
        <v>42.1</v>
      </c>
      <c r="Y58" s="1422">
        <v>39.340000000000003</v>
      </c>
      <c r="Z58" s="1422">
        <v>43.48</v>
      </c>
      <c r="AA58" s="1422">
        <v>43.94</v>
      </c>
      <c r="AB58" s="1422">
        <v>41.64</v>
      </c>
      <c r="AC58" s="1422">
        <v>42.1</v>
      </c>
      <c r="AD58" s="1422">
        <v>43.94</v>
      </c>
      <c r="AE58" s="1448">
        <v>41.18</v>
      </c>
      <c r="AF58" s="1449">
        <v>46.7</v>
      </c>
      <c r="AG58" s="1422">
        <v>45.78</v>
      </c>
      <c r="AH58" s="1422">
        <v>46.7</v>
      </c>
      <c r="AI58" s="1422">
        <v>45.78</v>
      </c>
      <c r="AJ58" s="1422">
        <v>44.86</v>
      </c>
      <c r="AK58" s="1422">
        <v>37.04</v>
      </c>
      <c r="AL58" s="121"/>
      <c r="AM58" s="1450">
        <v>43.02</v>
      </c>
    </row>
    <row r="59" spans="1:40">
      <c r="A59" s="118">
        <f t="shared" si="0"/>
        <v>44</v>
      </c>
      <c r="B59" s="1447">
        <v>45.01</v>
      </c>
      <c r="C59" s="1422">
        <v>45.28</v>
      </c>
      <c r="D59" s="1422">
        <v>44.14</v>
      </c>
      <c r="E59" s="1422">
        <v>43.43</v>
      </c>
      <c r="F59" s="1422">
        <v>42.31</v>
      </c>
      <c r="G59" s="1422">
        <v>44.44</v>
      </c>
      <c r="H59" s="1422">
        <v>44.73</v>
      </c>
      <c r="I59" s="1422">
        <v>43.66</v>
      </c>
      <c r="J59" s="1422">
        <v>43.66</v>
      </c>
      <c r="K59" s="1422">
        <v>44.44</v>
      </c>
      <c r="L59" s="1448">
        <v>43.17</v>
      </c>
      <c r="M59" s="1449">
        <v>45.34</v>
      </c>
      <c r="N59" s="1422">
        <v>45</v>
      </c>
      <c r="O59" s="1422">
        <v>44.44</v>
      </c>
      <c r="P59" s="1422">
        <v>44.62</v>
      </c>
      <c r="Q59" s="1422">
        <v>44.44</v>
      </c>
      <c r="R59" s="1422">
        <v>41.05</v>
      </c>
      <c r="S59" s="1422">
        <v>42.35</v>
      </c>
      <c r="T59" s="1450">
        <v>43.98</v>
      </c>
      <c r="U59" s="1447">
        <v>42.56</v>
      </c>
      <c r="V59" s="1422">
        <v>43.02</v>
      </c>
      <c r="W59" s="1422">
        <v>41.18</v>
      </c>
      <c r="X59" s="1422">
        <v>39.799999999999997</v>
      </c>
      <c r="Y59" s="1422">
        <v>37.96</v>
      </c>
      <c r="Z59" s="1422">
        <v>41.64</v>
      </c>
      <c r="AA59" s="1422">
        <v>42.1</v>
      </c>
      <c r="AB59" s="1422">
        <v>40.26</v>
      </c>
      <c r="AC59" s="1422">
        <v>40.26</v>
      </c>
      <c r="AD59" s="1422">
        <v>42.1</v>
      </c>
      <c r="AE59" s="1448">
        <v>39.340000000000003</v>
      </c>
      <c r="AF59" s="1449">
        <v>44.86</v>
      </c>
      <c r="AG59" s="1422">
        <v>43.94</v>
      </c>
      <c r="AH59" s="1422">
        <v>42.56</v>
      </c>
      <c r="AI59" s="1422">
        <v>43.02</v>
      </c>
      <c r="AJ59" s="1422">
        <v>42.56</v>
      </c>
      <c r="AK59" s="1422">
        <v>33.82</v>
      </c>
      <c r="AL59" s="1422">
        <v>37.04</v>
      </c>
      <c r="AM59" s="1450">
        <v>41.18</v>
      </c>
    </row>
    <row r="60" spans="1:40">
      <c r="A60" s="118">
        <f t="shared" si="0"/>
        <v>43</v>
      </c>
      <c r="B60" s="1447">
        <v>43.66</v>
      </c>
      <c r="C60" s="1422">
        <v>44.14</v>
      </c>
      <c r="D60" s="1422">
        <v>42.88</v>
      </c>
      <c r="E60" s="1422">
        <v>42.88</v>
      </c>
      <c r="F60" s="1422">
        <v>41.42</v>
      </c>
      <c r="G60" s="1422">
        <v>43.66</v>
      </c>
      <c r="H60" s="1422">
        <v>44.14</v>
      </c>
      <c r="I60" s="1422">
        <v>42.6</v>
      </c>
      <c r="J60" s="1422">
        <v>42.88</v>
      </c>
      <c r="K60" s="1422">
        <v>43.43</v>
      </c>
      <c r="L60" s="1448">
        <v>42.6</v>
      </c>
      <c r="M60" s="1449">
        <v>44.29</v>
      </c>
      <c r="N60" s="1422">
        <v>44.44</v>
      </c>
      <c r="O60" s="1422">
        <v>42.93</v>
      </c>
      <c r="P60" s="1422">
        <v>43.51</v>
      </c>
      <c r="Q60" s="1422">
        <v>43.51</v>
      </c>
      <c r="R60" s="1422">
        <v>39.72</v>
      </c>
      <c r="S60" s="1422">
        <v>41.05</v>
      </c>
      <c r="T60" s="1450">
        <v>43.13</v>
      </c>
      <c r="U60" s="1447">
        <v>40.26</v>
      </c>
      <c r="V60" s="1422">
        <v>41.18</v>
      </c>
      <c r="W60" s="1422">
        <v>38.880000000000003</v>
      </c>
      <c r="X60" s="1422">
        <v>38.880000000000003</v>
      </c>
      <c r="Y60" s="1422">
        <v>36.58</v>
      </c>
      <c r="Z60" s="1422">
        <v>40.26</v>
      </c>
      <c r="AA60" s="1422">
        <v>41.18</v>
      </c>
      <c r="AB60" s="1422">
        <v>38.42</v>
      </c>
      <c r="AC60" s="1422">
        <v>38.880000000000003</v>
      </c>
      <c r="AD60" s="1422">
        <v>40.72</v>
      </c>
      <c r="AE60" s="1448">
        <v>38.42</v>
      </c>
      <c r="AF60" s="1449">
        <v>42.1</v>
      </c>
      <c r="AG60" s="1422">
        <v>42.56</v>
      </c>
      <c r="AH60" s="1422">
        <v>38.42</v>
      </c>
      <c r="AI60" s="1422">
        <v>39.799999999999997</v>
      </c>
      <c r="AJ60" s="1422">
        <v>39.799999999999997</v>
      </c>
      <c r="AK60" s="1422">
        <v>31.06</v>
      </c>
      <c r="AL60" s="1422">
        <v>33.82</v>
      </c>
      <c r="AM60" s="1450">
        <v>38.880000000000003</v>
      </c>
    </row>
    <row r="61" spans="1:40">
      <c r="A61" s="118">
        <f t="shared" si="0"/>
        <v>42</v>
      </c>
      <c r="B61" s="1447">
        <v>42.6</v>
      </c>
      <c r="C61" s="1422">
        <v>42.31</v>
      </c>
      <c r="D61" s="1422">
        <v>41.72</v>
      </c>
      <c r="E61" s="1422">
        <v>42.02</v>
      </c>
      <c r="F61" s="1422">
        <v>40.5</v>
      </c>
      <c r="G61" s="1422">
        <v>42.6</v>
      </c>
      <c r="H61" s="1422">
        <v>42.88</v>
      </c>
      <c r="I61" s="1422">
        <v>41.72</v>
      </c>
      <c r="J61" s="1422">
        <v>41.72</v>
      </c>
      <c r="K61" s="1422">
        <v>42.31</v>
      </c>
      <c r="L61" s="1448">
        <v>42.02</v>
      </c>
      <c r="M61" s="1449">
        <v>43.13</v>
      </c>
      <c r="N61" s="1422">
        <v>43.67</v>
      </c>
      <c r="O61" s="1422">
        <v>41.62</v>
      </c>
      <c r="P61" s="1422">
        <v>42.54</v>
      </c>
      <c r="Q61" s="1422">
        <v>42.93</v>
      </c>
      <c r="R61" s="1422">
        <v>38.729999999999997</v>
      </c>
      <c r="S61" s="1422">
        <v>39.72</v>
      </c>
      <c r="T61" s="1450">
        <v>42.17</v>
      </c>
      <c r="U61" s="1447">
        <v>38.42</v>
      </c>
      <c r="V61" s="1422">
        <v>37.96</v>
      </c>
      <c r="W61" s="1422">
        <v>37.04</v>
      </c>
      <c r="X61" s="1422">
        <v>37.5</v>
      </c>
      <c r="Y61" s="1422">
        <v>35.200000000000003</v>
      </c>
      <c r="Z61" s="1422">
        <v>38.42</v>
      </c>
      <c r="AA61" s="1422">
        <v>38.880000000000003</v>
      </c>
      <c r="AB61" s="1422">
        <v>37.04</v>
      </c>
      <c r="AC61" s="1422">
        <v>37.04</v>
      </c>
      <c r="AD61" s="1422">
        <v>38.880000000000003</v>
      </c>
      <c r="AE61" s="1448">
        <v>37.5</v>
      </c>
      <c r="AF61" s="1449">
        <v>38.880000000000003</v>
      </c>
      <c r="AG61" s="1422">
        <v>40.26</v>
      </c>
      <c r="AH61" s="1422">
        <v>35.200000000000003</v>
      </c>
      <c r="AI61" s="1422">
        <v>37.5</v>
      </c>
      <c r="AJ61" s="1422">
        <v>38.42</v>
      </c>
      <c r="AK61" s="1422">
        <v>29.22</v>
      </c>
      <c r="AL61" s="1422">
        <v>31.06</v>
      </c>
      <c r="AM61" s="1450">
        <v>36.58</v>
      </c>
    </row>
    <row r="62" spans="1:40" s="14" customFormat="1" ht="14.25" thickBot="1">
      <c r="A62" s="45">
        <f t="shared" si="0"/>
        <v>41</v>
      </c>
      <c r="B62" s="1451">
        <v>41.42</v>
      </c>
      <c r="C62" s="1427">
        <v>40.5</v>
      </c>
      <c r="D62" s="1427">
        <v>40.81</v>
      </c>
      <c r="E62" s="1427">
        <v>41.42</v>
      </c>
      <c r="F62" s="1427">
        <v>40.5</v>
      </c>
      <c r="G62" s="1427">
        <v>41.42</v>
      </c>
      <c r="H62" s="1427">
        <v>41.72</v>
      </c>
      <c r="I62" s="1427">
        <v>40.81</v>
      </c>
      <c r="J62" s="1427">
        <v>40.5</v>
      </c>
      <c r="K62" s="1427">
        <v>41.42</v>
      </c>
      <c r="L62" s="1452">
        <v>41.12</v>
      </c>
      <c r="M62" s="1453">
        <v>42.17</v>
      </c>
      <c r="N62" s="1427">
        <v>42.54</v>
      </c>
      <c r="O62" s="1427">
        <v>40.44</v>
      </c>
      <c r="P62" s="1427">
        <v>41.62</v>
      </c>
      <c r="Q62" s="1427">
        <v>42.17</v>
      </c>
      <c r="R62" s="1427">
        <v>37.770000000000003</v>
      </c>
      <c r="S62" s="1427">
        <v>38.729999999999997</v>
      </c>
      <c r="T62" s="1454">
        <v>41.62</v>
      </c>
      <c r="U62" s="1451">
        <v>36.58</v>
      </c>
      <c r="V62" s="1427">
        <v>35.200000000000003</v>
      </c>
      <c r="W62" s="1427">
        <v>35.659999999999997</v>
      </c>
      <c r="X62" s="1427">
        <v>36.58</v>
      </c>
      <c r="Y62" s="1427">
        <v>34.28</v>
      </c>
      <c r="Z62" s="1427">
        <v>36.58</v>
      </c>
      <c r="AA62" s="1427">
        <v>37.04</v>
      </c>
      <c r="AB62" s="1427">
        <v>35.659999999999997</v>
      </c>
      <c r="AC62" s="1427">
        <v>35.200000000000003</v>
      </c>
      <c r="AD62" s="1427">
        <v>37.5</v>
      </c>
      <c r="AE62" s="1452">
        <v>36.119999999999997</v>
      </c>
      <c r="AF62" s="1453">
        <v>36.58</v>
      </c>
      <c r="AG62" s="1427">
        <v>37.5</v>
      </c>
      <c r="AH62" s="1427">
        <v>32.44</v>
      </c>
      <c r="AI62" s="1427">
        <v>35.200000000000003</v>
      </c>
      <c r="AJ62" s="1427">
        <v>36.58</v>
      </c>
      <c r="AK62" s="1427">
        <v>27.84</v>
      </c>
      <c r="AL62" s="1427">
        <v>29.22</v>
      </c>
      <c r="AM62" s="1454">
        <v>35.200000000000003</v>
      </c>
      <c r="AN62" s="53"/>
    </row>
    <row r="63" spans="1:40" s="18" customFormat="1">
      <c r="A63" s="42">
        <f t="shared" si="0"/>
        <v>40</v>
      </c>
      <c r="B63" s="1455">
        <v>39.93</v>
      </c>
      <c r="C63" s="1432">
        <v>39.369999999999997</v>
      </c>
      <c r="D63" s="1432">
        <v>39.93</v>
      </c>
      <c r="E63" s="1432">
        <v>40.5</v>
      </c>
      <c r="F63" s="1432">
        <v>39.93</v>
      </c>
      <c r="G63" s="1432">
        <v>40.5</v>
      </c>
      <c r="H63" s="1432">
        <v>40.22</v>
      </c>
      <c r="I63" s="1432">
        <v>39.65</v>
      </c>
      <c r="J63" s="1432">
        <v>39.369999999999997</v>
      </c>
      <c r="K63" s="1432">
        <v>39.65</v>
      </c>
      <c r="L63" s="1456">
        <v>40.5</v>
      </c>
      <c r="M63" s="1457">
        <v>40.85</v>
      </c>
      <c r="N63" s="1432">
        <v>41.43</v>
      </c>
      <c r="O63" s="1432">
        <v>38.729999999999997</v>
      </c>
      <c r="P63" s="1432">
        <v>40.65</v>
      </c>
      <c r="Q63" s="1432">
        <v>41.25</v>
      </c>
      <c r="R63" s="1432">
        <v>36.75</v>
      </c>
      <c r="S63" s="1432">
        <v>37.770000000000003</v>
      </c>
      <c r="T63" s="1458">
        <v>41.05</v>
      </c>
      <c r="U63" s="1455">
        <v>34.28</v>
      </c>
      <c r="V63" s="1432">
        <v>33.36</v>
      </c>
      <c r="W63" s="1432">
        <v>34.28</v>
      </c>
      <c r="X63" s="1432">
        <v>35.200000000000003</v>
      </c>
      <c r="Y63" s="1432">
        <v>32.9</v>
      </c>
      <c r="Z63" s="1432">
        <v>35.200000000000003</v>
      </c>
      <c r="AA63" s="1432">
        <v>34.74</v>
      </c>
      <c r="AB63" s="1432">
        <v>33.82</v>
      </c>
      <c r="AC63" s="1432">
        <v>33.36</v>
      </c>
      <c r="AD63" s="1432">
        <v>35.68</v>
      </c>
      <c r="AE63" s="1456">
        <v>35.200000000000003</v>
      </c>
      <c r="AF63" s="1457">
        <v>33.36</v>
      </c>
      <c r="AG63" s="1432">
        <v>34.74</v>
      </c>
      <c r="AH63" s="1432">
        <v>29.22</v>
      </c>
      <c r="AI63" s="1432">
        <v>32.9</v>
      </c>
      <c r="AJ63" s="1432">
        <v>34.28</v>
      </c>
      <c r="AK63" s="1432">
        <v>26.92</v>
      </c>
      <c r="AL63" s="1432">
        <v>27.84</v>
      </c>
      <c r="AM63" s="1458">
        <v>33.82</v>
      </c>
      <c r="AN63" s="54"/>
    </row>
    <row r="64" spans="1:40">
      <c r="A64" s="118">
        <f t="shared" si="0"/>
        <v>39</v>
      </c>
      <c r="B64" s="1447">
        <v>38.15</v>
      </c>
      <c r="C64" s="1422">
        <v>37.270000000000003</v>
      </c>
      <c r="D64" s="1422">
        <v>39.369999999999997</v>
      </c>
      <c r="E64" s="1422">
        <v>39.65</v>
      </c>
      <c r="F64" s="1432">
        <v>39.11</v>
      </c>
      <c r="G64" s="1422">
        <v>39.369999999999997</v>
      </c>
      <c r="H64" s="1422">
        <v>39.11</v>
      </c>
      <c r="I64" s="1422">
        <v>38.82</v>
      </c>
      <c r="J64" s="1422">
        <v>38.5</v>
      </c>
      <c r="K64" s="1422">
        <v>37.71</v>
      </c>
      <c r="L64" s="1448">
        <v>39.65</v>
      </c>
      <c r="M64" s="1449">
        <v>39.450000000000003</v>
      </c>
      <c r="N64" s="1422">
        <v>40.22</v>
      </c>
      <c r="O64" s="1422">
        <v>37.369999999999997</v>
      </c>
      <c r="P64" s="1422">
        <v>39.72</v>
      </c>
      <c r="Q64" s="1422">
        <v>40.44</v>
      </c>
      <c r="R64" s="1422">
        <v>36</v>
      </c>
      <c r="S64" s="1422">
        <v>36.75</v>
      </c>
      <c r="T64" s="1450">
        <v>40.44</v>
      </c>
      <c r="U64" s="1447">
        <v>31.52</v>
      </c>
      <c r="V64" s="1422">
        <v>30.6</v>
      </c>
      <c r="W64" s="1422">
        <v>33.36</v>
      </c>
      <c r="X64" s="1422">
        <v>33.82</v>
      </c>
      <c r="Y64" s="1432">
        <v>31.98</v>
      </c>
      <c r="Z64" s="1422">
        <v>33.36</v>
      </c>
      <c r="AA64" s="1422">
        <v>32.9</v>
      </c>
      <c r="AB64" s="1422">
        <v>32.44</v>
      </c>
      <c r="AC64" s="1422">
        <v>31.98</v>
      </c>
      <c r="AD64" s="1422">
        <v>31.98</v>
      </c>
      <c r="AE64" s="1448">
        <v>33.82</v>
      </c>
      <c r="AF64" s="1449">
        <v>30.6</v>
      </c>
      <c r="AG64" s="1422">
        <v>31.98</v>
      </c>
      <c r="AH64" s="1422">
        <v>27.38</v>
      </c>
      <c r="AI64" s="1422">
        <v>31.06</v>
      </c>
      <c r="AJ64" s="1422">
        <v>32.44</v>
      </c>
      <c r="AK64" s="1422">
        <v>26.46</v>
      </c>
      <c r="AL64" s="1422">
        <v>26.92</v>
      </c>
      <c r="AM64" s="1450">
        <v>32.44</v>
      </c>
    </row>
    <row r="65" spans="1:40">
      <c r="A65" s="118">
        <f t="shared" si="0"/>
        <v>38</v>
      </c>
      <c r="B65" s="1447">
        <v>36.83</v>
      </c>
      <c r="C65" s="1422">
        <v>35.54</v>
      </c>
      <c r="D65" s="1422">
        <v>38.5</v>
      </c>
      <c r="E65" s="1422">
        <v>38.5</v>
      </c>
      <c r="F65" s="1422">
        <v>38.5</v>
      </c>
      <c r="G65" s="1422">
        <v>38.15</v>
      </c>
      <c r="H65" s="1422">
        <v>38.15</v>
      </c>
      <c r="I65" s="1422">
        <v>38.15</v>
      </c>
      <c r="J65" s="1422">
        <v>37.270000000000003</v>
      </c>
      <c r="K65" s="1422">
        <v>36.36</v>
      </c>
      <c r="L65" s="1448">
        <v>38.82</v>
      </c>
      <c r="M65" s="1449">
        <v>38.44</v>
      </c>
      <c r="N65" s="1422">
        <v>39.450000000000003</v>
      </c>
      <c r="O65" s="1422">
        <v>36</v>
      </c>
      <c r="P65" s="1422">
        <v>38.729999999999997</v>
      </c>
      <c r="Q65" s="1422">
        <v>39.450000000000003</v>
      </c>
      <c r="R65" s="1422">
        <v>34.5</v>
      </c>
      <c r="S65" s="1422">
        <v>36</v>
      </c>
      <c r="T65" s="1450">
        <v>39.97</v>
      </c>
      <c r="U65" s="1447">
        <v>30.14</v>
      </c>
      <c r="V65" s="1422">
        <v>28.76</v>
      </c>
      <c r="W65" s="1422">
        <v>31.98</v>
      </c>
      <c r="X65" s="1422">
        <v>31.98</v>
      </c>
      <c r="Y65" s="1422">
        <v>31.06</v>
      </c>
      <c r="Z65" s="1422">
        <v>31.52</v>
      </c>
      <c r="AA65" s="1422">
        <v>31.52</v>
      </c>
      <c r="AB65" s="1422">
        <v>31.52</v>
      </c>
      <c r="AC65" s="1422">
        <v>30.6</v>
      </c>
      <c r="AD65" s="1422">
        <v>30.14</v>
      </c>
      <c r="AE65" s="1448">
        <v>32.44</v>
      </c>
      <c r="AF65" s="1449">
        <v>28.76</v>
      </c>
      <c r="AG65" s="1422">
        <v>30.6</v>
      </c>
      <c r="AH65" s="1422">
        <v>26.46</v>
      </c>
      <c r="AI65" s="1422">
        <v>29.22</v>
      </c>
      <c r="AJ65" s="1422">
        <v>30.6</v>
      </c>
      <c r="AK65" s="1422">
        <v>26</v>
      </c>
      <c r="AL65" s="1422">
        <v>26.46</v>
      </c>
      <c r="AM65" s="1450">
        <v>31.52</v>
      </c>
    </row>
    <row r="66" spans="1:40">
      <c r="A66" s="118">
        <f t="shared" si="0"/>
        <v>37</v>
      </c>
      <c r="B66" s="1447">
        <v>35.54</v>
      </c>
      <c r="C66" s="1422">
        <v>34.479999999999997</v>
      </c>
      <c r="D66" s="1422">
        <v>37.71</v>
      </c>
      <c r="E66" s="1422">
        <v>37.71</v>
      </c>
      <c r="F66" s="1422">
        <v>37.71</v>
      </c>
      <c r="G66" s="1422">
        <v>37.270000000000003</v>
      </c>
      <c r="H66" s="1422">
        <v>36.36</v>
      </c>
      <c r="I66" s="1422">
        <v>37.270000000000003</v>
      </c>
      <c r="K66" s="1422">
        <v>35.54</v>
      </c>
      <c r="L66" s="1448">
        <v>38.15</v>
      </c>
      <c r="M66" s="1449">
        <v>37.369999999999997</v>
      </c>
      <c r="N66" s="1422">
        <v>38.119999999999997</v>
      </c>
      <c r="O66" s="1422">
        <v>35.25</v>
      </c>
      <c r="P66" s="1422">
        <v>37.369999999999997</v>
      </c>
      <c r="Q66" s="1422">
        <v>38.44</v>
      </c>
      <c r="R66" s="1422">
        <v>34.5</v>
      </c>
      <c r="S66" s="1422">
        <v>34.5</v>
      </c>
      <c r="T66" s="1450">
        <v>39.450000000000003</v>
      </c>
      <c r="U66" s="1447">
        <v>28.76</v>
      </c>
      <c r="V66" s="1422">
        <v>27.84</v>
      </c>
      <c r="W66" s="1422">
        <v>31.06</v>
      </c>
      <c r="X66" s="1422">
        <v>31.06</v>
      </c>
      <c r="Y66" s="1422">
        <v>30.6</v>
      </c>
      <c r="Z66" s="1422">
        <v>30.6</v>
      </c>
      <c r="AA66" s="1422">
        <v>29.68</v>
      </c>
      <c r="AB66" s="1422">
        <v>30.6</v>
      </c>
      <c r="AC66" s="121"/>
      <c r="AD66" s="1422">
        <v>29.22</v>
      </c>
      <c r="AE66" s="1448">
        <v>31.52</v>
      </c>
      <c r="AF66" s="1449">
        <v>27.38</v>
      </c>
      <c r="AG66" s="1422">
        <v>28.3</v>
      </c>
      <c r="AH66" s="1422">
        <v>26.46</v>
      </c>
      <c r="AI66" s="1422">
        <v>27.38</v>
      </c>
      <c r="AJ66" s="1422">
        <v>28.76</v>
      </c>
      <c r="AK66" s="1422">
        <v>26</v>
      </c>
      <c r="AL66" s="1422">
        <v>26</v>
      </c>
      <c r="AM66" s="1450">
        <v>30.6</v>
      </c>
    </row>
    <row r="67" spans="1:40">
      <c r="A67" s="118">
        <f t="shared" si="0"/>
        <v>36</v>
      </c>
      <c r="B67" s="1447">
        <v>33.770000000000003</v>
      </c>
      <c r="C67" s="1422">
        <v>32.86</v>
      </c>
      <c r="D67" s="1422">
        <v>36.83</v>
      </c>
      <c r="E67" s="1422">
        <v>36.83</v>
      </c>
      <c r="F67" s="1422">
        <v>37.270000000000003</v>
      </c>
      <c r="G67" s="1422">
        <v>35.94</v>
      </c>
      <c r="H67" s="1422">
        <v>35.1</v>
      </c>
      <c r="I67" s="1422">
        <v>35.94</v>
      </c>
      <c r="J67" s="1422">
        <v>36.36</v>
      </c>
      <c r="K67" s="1422">
        <v>34.479999999999997</v>
      </c>
      <c r="L67" s="1448">
        <v>37.71</v>
      </c>
      <c r="M67" s="1449">
        <v>36</v>
      </c>
      <c r="N67" s="1422">
        <v>37.369999999999997</v>
      </c>
      <c r="O67" s="1422">
        <v>34.5</v>
      </c>
      <c r="P67" s="1422">
        <v>36</v>
      </c>
      <c r="Q67" s="1422">
        <v>37.369999999999997</v>
      </c>
      <c r="R67" s="1422">
        <v>34.5</v>
      </c>
      <c r="S67" s="1422">
        <v>34.5</v>
      </c>
      <c r="T67" s="1450">
        <v>38.729999999999997</v>
      </c>
      <c r="U67" s="1447">
        <v>27.38</v>
      </c>
      <c r="V67" s="1422">
        <v>26.92</v>
      </c>
      <c r="W67" s="1422">
        <v>30.14</v>
      </c>
      <c r="X67" s="1422">
        <v>30.14</v>
      </c>
      <c r="Y67" s="1422">
        <v>29.68</v>
      </c>
      <c r="Z67" s="1422">
        <v>29.22</v>
      </c>
      <c r="AA67" s="1422">
        <v>28.3</v>
      </c>
      <c r="AB67" s="1422">
        <v>29.22</v>
      </c>
      <c r="AC67" s="1422">
        <v>29.68</v>
      </c>
      <c r="AD67" s="1422">
        <v>27.84</v>
      </c>
      <c r="AE67" s="1448">
        <v>31.06</v>
      </c>
      <c r="AF67" s="1449">
        <v>26.46</v>
      </c>
      <c r="AG67" s="1422">
        <v>27.38</v>
      </c>
      <c r="AH67" s="1422">
        <v>26</v>
      </c>
      <c r="AI67" s="1422">
        <v>26.46</v>
      </c>
      <c r="AJ67" s="1422">
        <v>27.38</v>
      </c>
      <c r="AK67" s="1422">
        <v>26</v>
      </c>
      <c r="AL67" s="1422">
        <v>26</v>
      </c>
      <c r="AM67" s="1450">
        <v>29.22</v>
      </c>
    </row>
    <row r="68" spans="1:40">
      <c r="A68" s="118">
        <f t="shared" ref="A68:A103" si="1">103-ROW()</f>
        <v>35</v>
      </c>
      <c r="B68" s="1447">
        <v>32.86</v>
      </c>
      <c r="C68" s="1422">
        <v>31.81</v>
      </c>
      <c r="D68" s="1422">
        <v>35.54</v>
      </c>
      <c r="E68" s="1422">
        <v>35.94</v>
      </c>
      <c r="F68" s="1422">
        <v>36.36</v>
      </c>
      <c r="G68" s="1422">
        <v>35.1</v>
      </c>
      <c r="H68" s="1422">
        <v>33.770000000000003</v>
      </c>
      <c r="I68" s="1422">
        <v>35.1</v>
      </c>
      <c r="J68" s="1422">
        <v>35.1</v>
      </c>
      <c r="K68" s="1422">
        <v>33.770000000000003</v>
      </c>
      <c r="L68" s="1448">
        <v>36.83</v>
      </c>
      <c r="M68" s="1449">
        <v>34.5</v>
      </c>
      <c r="N68" s="1422">
        <v>36.75</v>
      </c>
      <c r="O68" s="1422">
        <v>34.5</v>
      </c>
      <c r="P68" s="1422">
        <v>35.25</v>
      </c>
      <c r="Q68" s="1422">
        <v>36</v>
      </c>
      <c r="R68" s="1422">
        <v>34.5</v>
      </c>
      <c r="S68" s="1422">
        <v>34.5</v>
      </c>
      <c r="T68" s="1450">
        <v>38.119999999999997</v>
      </c>
      <c r="U68" s="1447">
        <v>26.92</v>
      </c>
      <c r="V68" s="1422">
        <v>26.46</v>
      </c>
      <c r="W68" s="1422">
        <v>28.76</v>
      </c>
      <c r="X68" s="1422">
        <v>29.22</v>
      </c>
      <c r="Y68" s="1422">
        <v>29.22</v>
      </c>
      <c r="Z68" s="1422">
        <v>28.3</v>
      </c>
      <c r="AA68" s="1422">
        <v>27.38</v>
      </c>
      <c r="AB68" s="1422">
        <v>28.3</v>
      </c>
      <c r="AC68" s="1422">
        <v>28.3</v>
      </c>
      <c r="AD68" s="1422">
        <v>27.38</v>
      </c>
      <c r="AE68" s="1448">
        <v>30.14</v>
      </c>
      <c r="AF68" s="1449">
        <v>26</v>
      </c>
      <c r="AG68" s="1422">
        <v>26.92</v>
      </c>
      <c r="AH68" s="1422">
        <v>26</v>
      </c>
      <c r="AI68" s="1422">
        <v>26.46</v>
      </c>
      <c r="AJ68" s="1422">
        <v>26.46</v>
      </c>
      <c r="AK68" s="1422">
        <v>26</v>
      </c>
      <c r="AL68" s="1422">
        <v>26</v>
      </c>
      <c r="AM68" s="1450">
        <v>28.3</v>
      </c>
    </row>
    <row r="69" spans="1:40">
      <c r="A69" s="118">
        <f t="shared" si="1"/>
        <v>34</v>
      </c>
      <c r="B69" s="1447">
        <v>31.81</v>
      </c>
      <c r="C69" s="1422">
        <v>30</v>
      </c>
      <c r="D69" s="1422">
        <v>34.479999999999997</v>
      </c>
      <c r="E69" s="1422">
        <v>35.1</v>
      </c>
      <c r="F69" s="1422">
        <v>35.94</v>
      </c>
      <c r="G69" s="1422">
        <v>33.770000000000003</v>
      </c>
      <c r="H69" s="1422">
        <v>31.81</v>
      </c>
      <c r="I69" s="1422">
        <v>34.479999999999997</v>
      </c>
      <c r="J69" s="1422">
        <v>33.770000000000003</v>
      </c>
      <c r="K69" s="1422">
        <v>31.81</v>
      </c>
      <c r="L69" s="1448">
        <v>36.36</v>
      </c>
      <c r="M69" s="1449">
        <v>34.5</v>
      </c>
      <c r="N69" s="1422">
        <v>36</v>
      </c>
      <c r="O69" s="1422">
        <v>34.5</v>
      </c>
      <c r="P69" s="1422">
        <v>34.5</v>
      </c>
      <c r="Q69" s="1422">
        <v>35.25</v>
      </c>
      <c r="R69" s="1422">
        <v>34.5</v>
      </c>
      <c r="S69" s="1422">
        <v>34.5</v>
      </c>
      <c r="T69" s="1450">
        <v>37.369999999999997</v>
      </c>
      <c r="U69" s="1447">
        <v>26.46</v>
      </c>
      <c r="V69" s="121"/>
      <c r="W69" s="1422">
        <v>27.84</v>
      </c>
      <c r="X69" s="1422">
        <v>28.3</v>
      </c>
      <c r="Y69" s="1422">
        <v>28.3</v>
      </c>
      <c r="Z69" s="1422">
        <v>27.38</v>
      </c>
      <c r="AA69" s="1422">
        <v>26.46</v>
      </c>
      <c r="AB69" s="1422">
        <v>27.84</v>
      </c>
      <c r="AC69" s="1422">
        <v>27.38</v>
      </c>
      <c r="AD69" s="1422">
        <v>26.92</v>
      </c>
      <c r="AE69" s="1448">
        <v>29.68</v>
      </c>
      <c r="AF69" s="1449">
        <v>26</v>
      </c>
      <c r="AG69" s="1422">
        <v>26.46</v>
      </c>
      <c r="AH69" s="1422">
        <v>26</v>
      </c>
      <c r="AI69" s="1422">
        <v>26</v>
      </c>
      <c r="AJ69" s="1422">
        <v>26.46</v>
      </c>
      <c r="AK69" s="1422">
        <v>26</v>
      </c>
      <c r="AL69" s="1422">
        <v>26</v>
      </c>
      <c r="AM69" s="1450">
        <v>27.38</v>
      </c>
    </row>
    <row r="70" spans="1:40">
      <c r="A70" s="118">
        <f t="shared" si="1"/>
        <v>33</v>
      </c>
      <c r="B70" s="1447">
        <v>30</v>
      </c>
      <c r="C70" s="1422">
        <v>30</v>
      </c>
      <c r="D70" s="1422">
        <v>33.770000000000003</v>
      </c>
      <c r="E70" s="1422">
        <v>34.479999999999997</v>
      </c>
      <c r="F70" s="1422">
        <v>35.1</v>
      </c>
      <c r="G70" s="1422">
        <v>32.86</v>
      </c>
      <c r="H70" s="1422">
        <v>30.9</v>
      </c>
      <c r="I70" s="1422">
        <v>33.770000000000003</v>
      </c>
      <c r="J70" s="1422">
        <v>32.86</v>
      </c>
      <c r="K70" s="1422">
        <v>30</v>
      </c>
      <c r="L70" s="1448">
        <v>35.1</v>
      </c>
      <c r="M70" s="1449">
        <v>34.5</v>
      </c>
      <c r="N70" s="1422">
        <v>34.5</v>
      </c>
      <c r="O70" s="1422">
        <v>34.5</v>
      </c>
      <c r="P70" s="1422">
        <v>34.5</v>
      </c>
      <c r="Q70" s="1422">
        <v>34.5</v>
      </c>
      <c r="R70" s="1422">
        <v>34.5</v>
      </c>
      <c r="S70" s="1422">
        <v>34.5</v>
      </c>
      <c r="T70" s="1450">
        <v>36.75</v>
      </c>
      <c r="U70" s="1447">
        <v>26</v>
      </c>
      <c r="V70" s="1422">
        <v>26</v>
      </c>
      <c r="W70" s="1422">
        <v>27.38</v>
      </c>
      <c r="X70" s="1422">
        <v>27.84</v>
      </c>
      <c r="Y70" s="1422">
        <v>27.84</v>
      </c>
      <c r="Z70" s="1422">
        <v>26.92</v>
      </c>
      <c r="AA70" s="1422">
        <v>26.46</v>
      </c>
      <c r="AB70" s="1422">
        <v>27.38</v>
      </c>
      <c r="AC70" s="1422">
        <v>26.92</v>
      </c>
      <c r="AD70" s="1422">
        <v>26.46</v>
      </c>
      <c r="AE70" s="1448">
        <v>28.3</v>
      </c>
      <c r="AF70" s="1449">
        <v>26</v>
      </c>
      <c r="AG70" s="1422">
        <v>26</v>
      </c>
      <c r="AH70" s="1422">
        <v>26</v>
      </c>
      <c r="AI70" s="1422">
        <v>26</v>
      </c>
      <c r="AJ70" s="1422">
        <v>26</v>
      </c>
      <c r="AK70" s="1422">
        <v>26</v>
      </c>
      <c r="AL70" s="1422">
        <v>26</v>
      </c>
      <c r="AM70" s="1450">
        <v>26.92</v>
      </c>
    </row>
    <row r="71" spans="1:40">
      <c r="A71" s="118">
        <f t="shared" si="1"/>
        <v>32</v>
      </c>
      <c r="B71" s="1447">
        <v>30</v>
      </c>
      <c r="C71" s="1422">
        <v>30</v>
      </c>
      <c r="D71" s="1422">
        <v>32.86</v>
      </c>
      <c r="E71" s="1422">
        <v>33.770000000000003</v>
      </c>
      <c r="F71" s="1422">
        <v>34.479999999999997</v>
      </c>
      <c r="G71" s="1422">
        <v>31.81</v>
      </c>
      <c r="H71" s="1422">
        <v>30</v>
      </c>
      <c r="I71" s="1422">
        <v>32.86</v>
      </c>
      <c r="J71" s="1422">
        <v>31.81</v>
      </c>
      <c r="K71" s="1422">
        <v>30</v>
      </c>
      <c r="L71" s="1448">
        <v>33.770000000000003</v>
      </c>
      <c r="M71" s="1449">
        <v>34.5</v>
      </c>
      <c r="N71" s="1422">
        <v>34.5</v>
      </c>
      <c r="O71" s="1422">
        <v>34.5</v>
      </c>
      <c r="P71" s="1422">
        <v>34.5</v>
      </c>
      <c r="Q71" s="1422">
        <v>34.5</v>
      </c>
      <c r="R71" s="1422">
        <v>34.5</v>
      </c>
      <c r="S71" s="1422">
        <v>34.5</v>
      </c>
      <c r="T71" s="1450">
        <v>36</v>
      </c>
      <c r="U71" s="1447">
        <v>26</v>
      </c>
      <c r="V71" s="1422">
        <v>26</v>
      </c>
      <c r="W71" s="1422">
        <v>26.92</v>
      </c>
      <c r="X71" s="1422">
        <v>27.38</v>
      </c>
      <c r="Y71" s="1422">
        <v>27.38</v>
      </c>
      <c r="Z71" s="1422">
        <v>26.46</v>
      </c>
      <c r="AA71" s="1422">
        <v>26</v>
      </c>
      <c r="AB71" s="1422">
        <v>26.92</v>
      </c>
      <c r="AC71" s="1422">
        <v>26.46</v>
      </c>
      <c r="AD71" s="1422">
        <v>26</v>
      </c>
      <c r="AE71" s="1448">
        <v>27.38</v>
      </c>
      <c r="AF71" s="1449">
        <v>26</v>
      </c>
      <c r="AG71" s="1422">
        <v>26</v>
      </c>
      <c r="AH71" s="1422">
        <v>26</v>
      </c>
      <c r="AI71" s="1422">
        <v>26</v>
      </c>
      <c r="AJ71" s="1422">
        <v>26</v>
      </c>
      <c r="AK71" s="1422">
        <v>26</v>
      </c>
      <c r="AL71" s="1422">
        <v>26</v>
      </c>
      <c r="AM71" s="1450">
        <v>26.46</v>
      </c>
    </row>
    <row r="72" spans="1:40" s="7" customFormat="1" ht="14.25" thickBot="1">
      <c r="A72" s="43">
        <f t="shared" si="1"/>
        <v>31</v>
      </c>
      <c r="B72" s="1451">
        <v>30</v>
      </c>
      <c r="C72" s="1427">
        <v>30</v>
      </c>
      <c r="D72" s="1427">
        <v>31.81</v>
      </c>
      <c r="E72" s="1427">
        <v>31.81</v>
      </c>
      <c r="F72" s="1427">
        <v>33.770000000000003</v>
      </c>
      <c r="G72" s="1427">
        <v>30</v>
      </c>
      <c r="H72" s="1427">
        <v>30</v>
      </c>
      <c r="I72" s="1427">
        <v>31.81</v>
      </c>
      <c r="J72" s="1427">
        <v>30.9</v>
      </c>
      <c r="K72" s="1427">
        <v>30</v>
      </c>
      <c r="L72" s="1452">
        <v>32.86</v>
      </c>
      <c r="M72" s="1453">
        <v>34.5</v>
      </c>
      <c r="N72" s="1427">
        <v>34.5</v>
      </c>
      <c r="O72" s="1427">
        <v>34.5</v>
      </c>
      <c r="P72" s="1427">
        <v>34.5</v>
      </c>
      <c r="Q72" s="1427">
        <v>34.5</v>
      </c>
      <c r="R72" s="1427">
        <v>34.5</v>
      </c>
      <c r="S72" s="1427">
        <v>34.5</v>
      </c>
      <c r="T72" s="1454">
        <v>35.25</v>
      </c>
      <c r="U72" s="1451">
        <v>26</v>
      </c>
      <c r="V72" s="1427">
        <v>26</v>
      </c>
      <c r="W72" s="1427">
        <v>26.46</v>
      </c>
      <c r="X72" s="1427">
        <v>26.46</v>
      </c>
      <c r="Y72" s="1427">
        <v>27.15</v>
      </c>
      <c r="Z72" s="1427">
        <v>26</v>
      </c>
      <c r="AA72" s="1427">
        <v>26</v>
      </c>
      <c r="AB72" s="1427">
        <v>26.46</v>
      </c>
      <c r="AC72" s="1427">
        <v>26.46</v>
      </c>
      <c r="AD72" s="1427">
        <v>26</v>
      </c>
      <c r="AE72" s="1452">
        <v>26.92</v>
      </c>
      <c r="AF72" s="1453">
        <v>26</v>
      </c>
      <c r="AG72" s="1427">
        <v>26</v>
      </c>
      <c r="AH72" s="1427">
        <v>26</v>
      </c>
      <c r="AI72" s="1427">
        <v>26</v>
      </c>
      <c r="AJ72" s="1427">
        <v>26</v>
      </c>
      <c r="AK72" s="1427">
        <v>26</v>
      </c>
      <c r="AL72" s="1427">
        <v>26</v>
      </c>
      <c r="AM72" s="1454">
        <v>26.46</v>
      </c>
      <c r="AN72" s="55"/>
    </row>
    <row r="73" spans="1:40" s="18" customFormat="1">
      <c r="A73" s="42">
        <f t="shared" si="1"/>
        <v>30</v>
      </c>
      <c r="B73" s="1455">
        <v>30</v>
      </c>
      <c r="C73" s="1432">
        <v>30</v>
      </c>
      <c r="D73" s="1432">
        <v>31.2</v>
      </c>
      <c r="E73" s="1432">
        <v>31.2</v>
      </c>
      <c r="F73" s="1432">
        <v>33.31</v>
      </c>
      <c r="G73" s="1432">
        <v>30</v>
      </c>
      <c r="H73" s="1432">
        <v>30</v>
      </c>
      <c r="I73" s="1432">
        <v>30.9</v>
      </c>
      <c r="J73" s="1432">
        <v>30</v>
      </c>
      <c r="K73" s="1432">
        <v>30</v>
      </c>
      <c r="L73" s="1456">
        <v>32.33</v>
      </c>
      <c r="M73" s="1457">
        <v>34.5</v>
      </c>
      <c r="N73" s="1432">
        <v>34.5</v>
      </c>
      <c r="O73" s="1432">
        <v>34.5</v>
      </c>
      <c r="P73" s="1432">
        <v>34.5</v>
      </c>
      <c r="Q73" s="1432">
        <v>34.5</v>
      </c>
      <c r="R73" s="1432">
        <v>34.5</v>
      </c>
      <c r="S73" s="1432">
        <v>34.5</v>
      </c>
      <c r="T73" s="1458">
        <v>34.5</v>
      </c>
      <c r="U73" s="1455">
        <v>26</v>
      </c>
      <c r="V73" s="1432">
        <v>26</v>
      </c>
      <c r="W73" s="1432">
        <v>26.46</v>
      </c>
      <c r="X73" s="1432">
        <v>26.46</v>
      </c>
      <c r="Y73" s="1432">
        <v>26.92</v>
      </c>
      <c r="Z73" s="1432">
        <v>26</v>
      </c>
      <c r="AA73" s="1432">
        <v>26</v>
      </c>
      <c r="AB73" s="1432">
        <v>26.46</v>
      </c>
      <c r="AC73" s="1432">
        <v>26</v>
      </c>
      <c r="AD73" s="1432">
        <v>26</v>
      </c>
      <c r="AE73" s="1456">
        <v>26.69</v>
      </c>
      <c r="AF73" s="1457">
        <v>26</v>
      </c>
      <c r="AG73" s="1432">
        <v>26</v>
      </c>
      <c r="AH73" s="1432">
        <v>26</v>
      </c>
      <c r="AI73" s="1432">
        <v>26</v>
      </c>
      <c r="AJ73" s="1432">
        <v>26</v>
      </c>
      <c r="AK73" s="1432">
        <v>26</v>
      </c>
      <c r="AL73" s="1432">
        <v>26</v>
      </c>
      <c r="AM73" s="1458">
        <v>26</v>
      </c>
      <c r="AN73" s="54"/>
    </row>
    <row r="74" spans="1:40">
      <c r="A74" s="118">
        <f t="shared" si="1"/>
        <v>29</v>
      </c>
      <c r="B74" s="1447">
        <v>30</v>
      </c>
      <c r="C74" s="1422">
        <v>30</v>
      </c>
      <c r="D74" s="1422">
        <v>30.6</v>
      </c>
      <c r="E74" s="1422">
        <v>30.6</v>
      </c>
      <c r="F74" s="1432">
        <v>32.86</v>
      </c>
      <c r="G74" s="1422">
        <v>30</v>
      </c>
      <c r="H74" s="1422">
        <v>30</v>
      </c>
      <c r="I74" s="1422">
        <v>30</v>
      </c>
      <c r="J74" s="1422">
        <v>30</v>
      </c>
      <c r="K74" s="1422">
        <v>30</v>
      </c>
      <c r="L74" s="1448">
        <v>31.81</v>
      </c>
      <c r="M74" s="1449">
        <v>34.5</v>
      </c>
      <c r="N74" s="1422">
        <v>34.5</v>
      </c>
      <c r="O74" s="1422">
        <v>34.5</v>
      </c>
      <c r="P74" s="1422">
        <v>34.5</v>
      </c>
      <c r="Q74" s="1422">
        <v>34.5</v>
      </c>
      <c r="R74" s="1422">
        <v>34.5</v>
      </c>
      <c r="S74" s="1422">
        <v>34.5</v>
      </c>
      <c r="T74" s="1450">
        <v>34.5</v>
      </c>
      <c r="U74" s="1447">
        <v>26</v>
      </c>
      <c r="V74" s="1422">
        <v>26</v>
      </c>
      <c r="W74" s="1422">
        <v>26.46</v>
      </c>
      <c r="X74" s="1422">
        <v>26.46</v>
      </c>
      <c r="Y74" s="1432">
        <v>26.46</v>
      </c>
      <c r="Z74" s="1422">
        <v>26</v>
      </c>
      <c r="AA74" s="1422">
        <v>26</v>
      </c>
      <c r="AB74" s="1422">
        <v>26</v>
      </c>
      <c r="AC74" s="1422">
        <v>26</v>
      </c>
      <c r="AD74" s="1422">
        <v>26</v>
      </c>
      <c r="AE74" s="1448">
        <v>26.46</v>
      </c>
      <c r="AF74" s="1449">
        <v>26</v>
      </c>
      <c r="AG74" s="1422">
        <v>26</v>
      </c>
      <c r="AH74" s="1422">
        <v>26</v>
      </c>
      <c r="AI74" s="1422">
        <v>26</v>
      </c>
      <c r="AJ74" s="1422">
        <v>26</v>
      </c>
      <c r="AK74" s="1422">
        <v>26</v>
      </c>
      <c r="AL74" s="1422">
        <v>26</v>
      </c>
      <c r="AM74" s="1450">
        <v>26</v>
      </c>
    </row>
    <row r="75" spans="1:40">
      <c r="A75" s="118">
        <f t="shared" si="1"/>
        <v>28</v>
      </c>
      <c r="B75" s="1447">
        <v>30</v>
      </c>
      <c r="C75" s="1422">
        <v>30</v>
      </c>
      <c r="D75" s="1422">
        <v>30</v>
      </c>
      <c r="E75" s="1422">
        <v>30</v>
      </c>
      <c r="G75" s="1422">
        <v>30</v>
      </c>
      <c r="H75" s="1422">
        <v>30</v>
      </c>
      <c r="I75" s="1422">
        <v>30</v>
      </c>
      <c r="J75" s="1422">
        <v>30</v>
      </c>
      <c r="K75" s="1422">
        <v>30</v>
      </c>
      <c r="L75" s="1448">
        <v>30.9</v>
      </c>
      <c r="M75" s="1449">
        <v>34.5</v>
      </c>
      <c r="N75" s="1422">
        <v>34.5</v>
      </c>
      <c r="O75" s="1422">
        <v>34.5</v>
      </c>
      <c r="P75" s="1422">
        <v>34.5</v>
      </c>
      <c r="Q75" s="1422">
        <v>34.5</v>
      </c>
      <c r="R75" s="1422">
        <v>34.5</v>
      </c>
      <c r="S75" s="1422">
        <v>34.5</v>
      </c>
      <c r="T75" s="1450">
        <v>34.5</v>
      </c>
      <c r="U75" s="1447">
        <v>26</v>
      </c>
      <c r="V75" s="1422">
        <v>26</v>
      </c>
      <c r="W75" s="1422">
        <v>26</v>
      </c>
      <c r="X75" s="1422">
        <v>26</v>
      </c>
      <c r="Y75" s="121"/>
      <c r="Z75" s="1422">
        <v>26</v>
      </c>
      <c r="AA75" s="1422">
        <v>26</v>
      </c>
      <c r="AB75" s="1422">
        <v>26</v>
      </c>
      <c r="AC75" s="1422">
        <v>26</v>
      </c>
      <c r="AD75" s="1422">
        <v>26</v>
      </c>
      <c r="AE75" s="1448">
        <v>26.46</v>
      </c>
      <c r="AF75" s="1449">
        <v>26</v>
      </c>
      <c r="AG75" s="1422">
        <v>26</v>
      </c>
      <c r="AH75" s="1422">
        <v>26</v>
      </c>
      <c r="AI75" s="1422">
        <v>26</v>
      </c>
      <c r="AJ75" s="1422">
        <v>26</v>
      </c>
      <c r="AK75" s="1422">
        <v>26</v>
      </c>
      <c r="AL75" s="1422">
        <v>26</v>
      </c>
      <c r="AM75" s="1450">
        <v>26</v>
      </c>
    </row>
    <row r="76" spans="1:40">
      <c r="A76" s="118">
        <f t="shared" si="1"/>
        <v>27</v>
      </c>
      <c r="B76" s="1447">
        <v>30</v>
      </c>
      <c r="C76" s="1422">
        <v>30</v>
      </c>
      <c r="D76" s="1422">
        <v>30</v>
      </c>
      <c r="E76" s="1422">
        <v>30</v>
      </c>
      <c r="F76" s="1422">
        <v>31.81</v>
      </c>
      <c r="G76" s="1422">
        <v>30</v>
      </c>
      <c r="H76" s="1422">
        <v>30</v>
      </c>
      <c r="I76" s="1422">
        <v>30</v>
      </c>
      <c r="J76" s="1422">
        <v>30</v>
      </c>
      <c r="K76" s="1422">
        <v>30</v>
      </c>
      <c r="L76" s="1448">
        <v>30</v>
      </c>
      <c r="M76" s="1449">
        <v>34.5</v>
      </c>
      <c r="N76" s="1422">
        <v>34.5</v>
      </c>
      <c r="O76" s="1422">
        <v>34.5</v>
      </c>
      <c r="P76" s="1422">
        <v>34.5</v>
      </c>
      <c r="Q76" s="1422">
        <v>34.5</v>
      </c>
      <c r="R76" s="1422">
        <v>34.5</v>
      </c>
      <c r="S76" s="1422">
        <v>34.5</v>
      </c>
      <c r="T76" s="1450">
        <v>34.5</v>
      </c>
      <c r="U76" s="1447">
        <v>26</v>
      </c>
      <c r="V76" s="1422">
        <v>26</v>
      </c>
      <c r="W76" s="1422">
        <v>26</v>
      </c>
      <c r="X76" s="1422">
        <v>26</v>
      </c>
      <c r="Y76" s="1422">
        <v>26.46</v>
      </c>
      <c r="Z76" s="1422">
        <v>26</v>
      </c>
      <c r="AA76" s="1422">
        <v>26</v>
      </c>
      <c r="AB76" s="1422">
        <v>26</v>
      </c>
      <c r="AC76" s="1422">
        <v>26</v>
      </c>
      <c r="AD76" s="1422">
        <v>26</v>
      </c>
      <c r="AE76" s="1448">
        <v>26</v>
      </c>
      <c r="AF76" s="1449">
        <v>26</v>
      </c>
      <c r="AG76" s="1422">
        <v>26</v>
      </c>
      <c r="AH76" s="1422">
        <v>26</v>
      </c>
      <c r="AI76" s="1422">
        <v>26</v>
      </c>
      <c r="AJ76" s="1422">
        <v>26</v>
      </c>
      <c r="AK76" s="1422">
        <v>26</v>
      </c>
      <c r="AL76" s="1422">
        <v>26</v>
      </c>
      <c r="AM76" s="1450">
        <v>26</v>
      </c>
    </row>
    <row r="77" spans="1:40">
      <c r="A77" s="118">
        <f t="shared" si="1"/>
        <v>26</v>
      </c>
      <c r="B77" s="1447">
        <v>30</v>
      </c>
      <c r="C77" s="1422">
        <v>30</v>
      </c>
      <c r="D77" s="1422">
        <v>30</v>
      </c>
      <c r="E77" s="1422">
        <v>30</v>
      </c>
      <c r="F77" s="1422">
        <v>30.9</v>
      </c>
      <c r="G77" s="1422">
        <v>30</v>
      </c>
      <c r="H77" s="1422">
        <v>30</v>
      </c>
      <c r="I77" s="1422">
        <v>30</v>
      </c>
      <c r="J77" s="1422">
        <v>30</v>
      </c>
      <c r="K77" s="1422">
        <v>30</v>
      </c>
      <c r="L77" s="1448">
        <v>30</v>
      </c>
      <c r="M77" s="1449">
        <v>34.5</v>
      </c>
      <c r="N77" s="1422">
        <v>34.5</v>
      </c>
      <c r="O77" s="1422">
        <v>34.5</v>
      </c>
      <c r="P77" s="1422">
        <v>34.5</v>
      </c>
      <c r="Q77" s="1422">
        <v>34.5</v>
      </c>
      <c r="R77" s="1422">
        <v>34.5</v>
      </c>
      <c r="S77" s="1422">
        <v>34.5</v>
      </c>
      <c r="T77" s="1450">
        <v>34.5</v>
      </c>
      <c r="U77" s="1447">
        <v>26</v>
      </c>
      <c r="V77" s="1422">
        <v>26</v>
      </c>
      <c r="W77" s="1422">
        <v>26</v>
      </c>
      <c r="X77" s="1422">
        <v>26</v>
      </c>
      <c r="Y77" s="1422">
        <v>26.46</v>
      </c>
      <c r="Z77" s="1422">
        <v>26</v>
      </c>
      <c r="AA77" s="1422">
        <v>26</v>
      </c>
      <c r="AB77" s="1422">
        <v>26</v>
      </c>
      <c r="AC77" s="1422">
        <v>26</v>
      </c>
      <c r="AD77" s="1422">
        <v>26</v>
      </c>
      <c r="AE77" s="1448">
        <v>26</v>
      </c>
      <c r="AF77" s="1449">
        <v>26</v>
      </c>
      <c r="AG77" s="1422">
        <v>26</v>
      </c>
      <c r="AH77" s="1422">
        <v>26</v>
      </c>
      <c r="AI77" s="1422">
        <v>26</v>
      </c>
      <c r="AJ77" s="1422">
        <v>26</v>
      </c>
      <c r="AK77" s="1422">
        <v>26</v>
      </c>
      <c r="AL77" s="1422">
        <v>26</v>
      </c>
      <c r="AM77" s="1450">
        <v>26</v>
      </c>
    </row>
    <row r="78" spans="1:40">
      <c r="A78" s="118">
        <f t="shared" si="1"/>
        <v>25</v>
      </c>
      <c r="B78" s="1447">
        <v>30</v>
      </c>
      <c r="C78" s="1422">
        <v>30</v>
      </c>
      <c r="D78" s="1422">
        <v>30</v>
      </c>
      <c r="E78" s="1422">
        <v>30</v>
      </c>
      <c r="F78" s="1422">
        <v>30</v>
      </c>
      <c r="G78" s="1422">
        <v>30</v>
      </c>
      <c r="H78" s="1422">
        <v>30</v>
      </c>
      <c r="I78" s="1422">
        <v>30</v>
      </c>
      <c r="J78" s="1422">
        <v>30</v>
      </c>
      <c r="K78" s="1422">
        <v>30</v>
      </c>
      <c r="L78" s="1448">
        <v>30</v>
      </c>
      <c r="M78" s="1449">
        <v>34.5</v>
      </c>
      <c r="N78" s="1422">
        <v>34.5</v>
      </c>
      <c r="O78" s="1422">
        <v>34.5</v>
      </c>
      <c r="P78" s="1422">
        <v>34.5</v>
      </c>
      <c r="Q78" s="1422">
        <v>34.5</v>
      </c>
      <c r="R78" s="1422">
        <v>34.5</v>
      </c>
      <c r="S78" s="1422">
        <v>34.5</v>
      </c>
      <c r="T78" s="1450">
        <v>34.5</v>
      </c>
      <c r="U78" s="1447">
        <v>26</v>
      </c>
      <c r="V78" s="1422">
        <v>26</v>
      </c>
      <c r="W78" s="1422">
        <v>26</v>
      </c>
      <c r="X78" s="1422">
        <v>26</v>
      </c>
      <c r="Y78" s="1422">
        <v>26</v>
      </c>
      <c r="Z78" s="1422">
        <v>26</v>
      </c>
      <c r="AA78" s="1422">
        <v>26</v>
      </c>
      <c r="AB78" s="1422">
        <v>26</v>
      </c>
      <c r="AC78" s="1422">
        <v>26</v>
      </c>
      <c r="AD78" s="1422">
        <v>26</v>
      </c>
      <c r="AE78" s="1448">
        <v>26</v>
      </c>
      <c r="AF78" s="1449">
        <v>26</v>
      </c>
      <c r="AG78" s="1422">
        <v>26</v>
      </c>
      <c r="AH78" s="1422">
        <v>26</v>
      </c>
      <c r="AI78" s="1422">
        <v>26</v>
      </c>
      <c r="AJ78" s="1422">
        <v>26</v>
      </c>
      <c r="AK78" s="1422">
        <v>26</v>
      </c>
      <c r="AL78" s="1422">
        <v>26</v>
      </c>
      <c r="AM78" s="1450">
        <v>26</v>
      </c>
    </row>
    <row r="79" spans="1:40">
      <c r="A79" s="118">
        <f t="shared" si="1"/>
        <v>24</v>
      </c>
      <c r="B79" s="1447">
        <v>30</v>
      </c>
      <c r="C79" s="1422">
        <v>30</v>
      </c>
      <c r="D79" s="1422">
        <v>30</v>
      </c>
      <c r="E79" s="1422">
        <v>30</v>
      </c>
      <c r="F79" s="1422">
        <v>30</v>
      </c>
      <c r="G79" s="1422">
        <v>30</v>
      </c>
      <c r="H79" s="1422">
        <v>30</v>
      </c>
      <c r="I79" s="1422">
        <v>30</v>
      </c>
      <c r="J79" s="1422">
        <v>30</v>
      </c>
      <c r="K79" s="1422">
        <v>30</v>
      </c>
      <c r="L79" s="1448">
        <v>30</v>
      </c>
      <c r="M79" s="1449">
        <v>34.5</v>
      </c>
      <c r="N79" s="1422">
        <v>34.5</v>
      </c>
      <c r="O79" s="1422">
        <v>34.5</v>
      </c>
      <c r="P79" s="1422">
        <v>34.5</v>
      </c>
      <c r="Q79" s="1422">
        <v>34.5</v>
      </c>
      <c r="R79" s="1422">
        <v>34.5</v>
      </c>
      <c r="S79" s="1422">
        <v>34.5</v>
      </c>
      <c r="T79" s="1450">
        <v>34.5</v>
      </c>
      <c r="U79" s="1447">
        <v>26</v>
      </c>
      <c r="V79" s="1422">
        <v>26</v>
      </c>
      <c r="W79" s="1422">
        <v>26</v>
      </c>
      <c r="X79" s="1422">
        <v>26</v>
      </c>
      <c r="Y79" s="1422">
        <v>26</v>
      </c>
      <c r="Z79" s="1422">
        <v>26</v>
      </c>
      <c r="AA79" s="1422">
        <v>26</v>
      </c>
      <c r="AB79" s="1422">
        <v>26</v>
      </c>
      <c r="AC79" s="1422">
        <v>26</v>
      </c>
      <c r="AD79" s="1422">
        <v>26</v>
      </c>
      <c r="AE79" s="1448">
        <v>26</v>
      </c>
      <c r="AF79" s="1449">
        <v>26</v>
      </c>
      <c r="AG79" s="1422">
        <v>26</v>
      </c>
      <c r="AH79" s="1422">
        <v>26</v>
      </c>
      <c r="AI79" s="1422">
        <v>26</v>
      </c>
      <c r="AJ79" s="1422">
        <v>26</v>
      </c>
      <c r="AK79" s="1422">
        <v>26</v>
      </c>
      <c r="AL79" s="1422">
        <v>26</v>
      </c>
      <c r="AM79" s="1450">
        <v>26</v>
      </c>
    </row>
    <row r="80" spans="1:40">
      <c r="A80" s="118">
        <f t="shared" si="1"/>
        <v>23</v>
      </c>
      <c r="B80" s="1447">
        <v>30</v>
      </c>
      <c r="C80" s="1422">
        <v>30</v>
      </c>
      <c r="D80" s="1422">
        <v>30</v>
      </c>
      <c r="E80" s="1422">
        <v>30</v>
      </c>
      <c r="F80" s="1422">
        <v>30</v>
      </c>
      <c r="G80" s="1422">
        <v>30</v>
      </c>
      <c r="H80" s="1422">
        <v>30</v>
      </c>
      <c r="I80" s="1422">
        <v>30</v>
      </c>
      <c r="J80" s="1422">
        <v>30</v>
      </c>
      <c r="K80" s="1422">
        <v>30</v>
      </c>
      <c r="L80" s="1448">
        <v>30</v>
      </c>
      <c r="M80" s="1449">
        <v>34.5</v>
      </c>
      <c r="N80" s="1422">
        <v>34.5</v>
      </c>
      <c r="O80" s="1422">
        <v>34.5</v>
      </c>
      <c r="P80" s="1422">
        <v>34.5</v>
      </c>
      <c r="Q80" s="1422">
        <v>34.5</v>
      </c>
      <c r="R80" s="1422">
        <v>34.5</v>
      </c>
      <c r="S80" s="1422">
        <v>34.5</v>
      </c>
      <c r="T80" s="1450">
        <v>34.5</v>
      </c>
      <c r="U80" s="1447">
        <v>26</v>
      </c>
      <c r="V80" s="1422">
        <v>26</v>
      </c>
      <c r="W80" s="1422">
        <v>26</v>
      </c>
      <c r="X80" s="1422">
        <v>26</v>
      </c>
      <c r="Y80" s="1422">
        <v>26</v>
      </c>
      <c r="Z80" s="1422">
        <v>26</v>
      </c>
      <c r="AA80" s="1422">
        <v>26</v>
      </c>
      <c r="AB80" s="1422">
        <v>26</v>
      </c>
      <c r="AC80" s="1422">
        <v>26</v>
      </c>
      <c r="AD80" s="1422">
        <v>26</v>
      </c>
      <c r="AE80" s="1448">
        <v>26</v>
      </c>
      <c r="AF80" s="1449">
        <v>26</v>
      </c>
      <c r="AG80" s="1422">
        <v>26</v>
      </c>
      <c r="AH80" s="1422">
        <v>26</v>
      </c>
      <c r="AI80" s="1422">
        <v>26</v>
      </c>
      <c r="AJ80" s="1422">
        <v>26</v>
      </c>
      <c r="AK80" s="1422">
        <v>26</v>
      </c>
      <c r="AL80" s="1422">
        <v>26</v>
      </c>
      <c r="AM80" s="1450">
        <v>26</v>
      </c>
    </row>
    <row r="81" spans="1:40">
      <c r="A81" s="118">
        <f t="shared" si="1"/>
        <v>22</v>
      </c>
      <c r="B81" s="1447">
        <v>30</v>
      </c>
      <c r="C81" s="1422">
        <v>30</v>
      </c>
      <c r="D81" s="1422">
        <v>30</v>
      </c>
      <c r="E81" s="1422">
        <v>30</v>
      </c>
      <c r="F81" s="1422">
        <v>30</v>
      </c>
      <c r="G81" s="1422">
        <v>30</v>
      </c>
      <c r="H81" s="1422">
        <v>30</v>
      </c>
      <c r="I81" s="1422">
        <v>30</v>
      </c>
      <c r="J81" s="1422">
        <v>30</v>
      </c>
      <c r="K81" s="1422">
        <v>30</v>
      </c>
      <c r="L81" s="1448">
        <v>30</v>
      </c>
      <c r="M81" s="1449">
        <v>34.5</v>
      </c>
      <c r="N81" s="1422">
        <v>34.5</v>
      </c>
      <c r="O81" s="1422">
        <v>34.5</v>
      </c>
      <c r="P81" s="1422">
        <v>34.5</v>
      </c>
      <c r="Q81" s="1422">
        <v>34.5</v>
      </c>
      <c r="R81" s="1422">
        <v>34.5</v>
      </c>
      <c r="S81" s="1422">
        <v>34.5</v>
      </c>
      <c r="T81" s="1450">
        <v>34.5</v>
      </c>
      <c r="U81" s="1447">
        <v>26</v>
      </c>
      <c r="V81" s="1422">
        <v>26</v>
      </c>
      <c r="W81" s="1422">
        <v>26</v>
      </c>
      <c r="X81" s="1422">
        <v>26</v>
      </c>
      <c r="Y81" s="1422">
        <v>26</v>
      </c>
      <c r="Z81" s="1422">
        <v>26</v>
      </c>
      <c r="AA81" s="1422">
        <v>26</v>
      </c>
      <c r="AB81" s="1422">
        <v>26</v>
      </c>
      <c r="AC81" s="1422">
        <v>26</v>
      </c>
      <c r="AD81" s="1422">
        <v>26</v>
      </c>
      <c r="AE81" s="1448">
        <v>26</v>
      </c>
      <c r="AF81" s="1449">
        <v>26</v>
      </c>
      <c r="AG81" s="1422">
        <v>26</v>
      </c>
      <c r="AH81" s="1422">
        <v>26</v>
      </c>
      <c r="AI81" s="1422">
        <v>26</v>
      </c>
      <c r="AJ81" s="1422">
        <v>26</v>
      </c>
      <c r="AK81" s="1422">
        <v>26</v>
      </c>
      <c r="AL81" s="1422">
        <v>26</v>
      </c>
      <c r="AM81" s="1450">
        <v>26</v>
      </c>
    </row>
    <row r="82" spans="1:40" s="7" customFormat="1" ht="14.25" thickBot="1">
      <c r="A82" s="43">
        <f t="shared" si="1"/>
        <v>21</v>
      </c>
      <c r="B82" s="1451">
        <v>30</v>
      </c>
      <c r="C82" s="1427">
        <v>30</v>
      </c>
      <c r="D82" s="1427">
        <v>30</v>
      </c>
      <c r="E82" s="1427">
        <v>30</v>
      </c>
      <c r="F82" s="1427">
        <v>30</v>
      </c>
      <c r="G82" s="1427">
        <v>30</v>
      </c>
      <c r="H82" s="1427">
        <v>30</v>
      </c>
      <c r="I82" s="1427">
        <v>30</v>
      </c>
      <c r="J82" s="1427">
        <v>30</v>
      </c>
      <c r="K82" s="1427">
        <v>30</v>
      </c>
      <c r="L82" s="1452">
        <v>30</v>
      </c>
      <c r="M82" s="1453">
        <v>34.5</v>
      </c>
      <c r="N82" s="1427">
        <v>34.5</v>
      </c>
      <c r="O82" s="1427">
        <v>34.5</v>
      </c>
      <c r="P82" s="1427">
        <v>34.5</v>
      </c>
      <c r="Q82" s="1427">
        <v>34.5</v>
      </c>
      <c r="R82" s="1427">
        <v>34.5</v>
      </c>
      <c r="S82" s="1427">
        <v>34.5</v>
      </c>
      <c r="T82" s="1454">
        <v>34.5</v>
      </c>
      <c r="U82" s="1451">
        <v>26</v>
      </c>
      <c r="V82" s="1427">
        <v>26</v>
      </c>
      <c r="W82" s="1427">
        <v>26</v>
      </c>
      <c r="X82" s="1427">
        <v>26</v>
      </c>
      <c r="Y82" s="1427">
        <v>26</v>
      </c>
      <c r="Z82" s="1427">
        <v>26</v>
      </c>
      <c r="AA82" s="1427">
        <v>26</v>
      </c>
      <c r="AB82" s="1427">
        <v>26</v>
      </c>
      <c r="AC82" s="1427">
        <v>26</v>
      </c>
      <c r="AD82" s="1427">
        <v>26</v>
      </c>
      <c r="AE82" s="1452">
        <v>26</v>
      </c>
      <c r="AF82" s="1453">
        <v>26</v>
      </c>
      <c r="AG82" s="1427">
        <v>26</v>
      </c>
      <c r="AH82" s="1427">
        <v>26</v>
      </c>
      <c r="AI82" s="1427">
        <v>26</v>
      </c>
      <c r="AJ82" s="1427">
        <v>26</v>
      </c>
      <c r="AK82" s="1427">
        <v>26</v>
      </c>
      <c r="AL82" s="1427">
        <v>26</v>
      </c>
      <c r="AM82" s="1454">
        <v>26</v>
      </c>
      <c r="AN82" s="55"/>
    </row>
    <row r="83" spans="1:40" s="17" customFormat="1">
      <c r="A83" s="44">
        <f t="shared" si="1"/>
        <v>20</v>
      </c>
      <c r="B83" s="1455">
        <v>30</v>
      </c>
      <c r="C83" s="1432">
        <v>30</v>
      </c>
      <c r="D83" s="1432">
        <v>30</v>
      </c>
      <c r="E83" s="1432">
        <v>30</v>
      </c>
      <c r="F83" s="1432">
        <v>30</v>
      </c>
      <c r="G83" s="1432">
        <v>30</v>
      </c>
      <c r="H83" s="1432">
        <v>30</v>
      </c>
      <c r="I83" s="1432">
        <v>30</v>
      </c>
      <c r="J83" s="1432">
        <v>30</v>
      </c>
      <c r="K83" s="1432">
        <v>30</v>
      </c>
      <c r="L83" s="1456">
        <v>30</v>
      </c>
      <c r="M83" s="1457">
        <v>34.5</v>
      </c>
      <c r="N83" s="1432">
        <v>34.5</v>
      </c>
      <c r="O83" s="1432">
        <v>34.5</v>
      </c>
      <c r="P83" s="1432">
        <v>34.5</v>
      </c>
      <c r="Q83" s="1432">
        <v>34.5</v>
      </c>
      <c r="R83" s="1432">
        <v>34.5</v>
      </c>
      <c r="S83" s="1432">
        <v>34.5</v>
      </c>
      <c r="T83" s="1458">
        <v>34.5</v>
      </c>
      <c r="U83" s="1455">
        <v>26</v>
      </c>
      <c r="V83" s="1432">
        <v>26</v>
      </c>
      <c r="W83" s="1432">
        <v>26</v>
      </c>
      <c r="X83" s="1432">
        <v>26</v>
      </c>
      <c r="Y83" s="1432">
        <v>26</v>
      </c>
      <c r="Z83" s="1432">
        <v>26</v>
      </c>
      <c r="AA83" s="1432">
        <v>26</v>
      </c>
      <c r="AB83" s="1432">
        <v>26</v>
      </c>
      <c r="AC83" s="1432">
        <v>26</v>
      </c>
      <c r="AD83" s="1432">
        <v>26</v>
      </c>
      <c r="AE83" s="1456">
        <v>26</v>
      </c>
      <c r="AF83" s="1457">
        <v>26</v>
      </c>
      <c r="AG83" s="1432">
        <v>26</v>
      </c>
      <c r="AH83" s="1432">
        <v>26</v>
      </c>
      <c r="AI83" s="1432">
        <v>26</v>
      </c>
      <c r="AJ83" s="1432">
        <v>26</v>
      </c>
      <c r="AK83" s="1432">
        <v>26</v>
      </c>
      <c r="AL83" s="1432">
        <v>26</v>
      </c>
      <c r="AM83" s="1458">
        <v>26</v>
      </c>
      <c r="AN83" s="56"/>
    </row>
    <row r="84" spans="1:40">
      <c r="A84" s="118">
        <f t="shared" si="1"/>
        <v>19</v>
      </c>
      <c r="B84" s="1447">
        <v>30</v>
      </c>
      <c r="C84" s="1422">
        <v>30</v>
      </c>
      <c r="D84" s="1422">
        <v>30</v>
      </c>
      <c r="E84" s="1422">
        <v>30</v>
      </c>
      <c r="F84" s="1422">
        <v>30</v>
      </c>
      <c r="G84" s="1422">
        <v>30</v>
      </c>
      <c r="H84" s="1422">
        <v>30</v>
      </c>
      <c r="I84" s="1422">
        <v>30</v>
      </c>
      <c r="J84" s="1422">
        <v>30</v>
      </c>
      <c r="K84" s="1422">
        <v>30</v>
      </c>
      <c r="L84" s="1448">
        <v>30</v>
      </c>
      <c r="M84" s="1449">
        <v>34.5</v>
      </c>
      <c r="N84" s="1422">
        <v>34.5</v>
      </c>
      <c r="O84" s="1422">
        <v>34.5</v>
      </c>
      <c r="P84" s="1422">
        <v>34.5</v>
      </c>
      <c r="Q84" s="1422">
        <v>34.5</v>
      </c>
      <c r="R84" s="1422">
        <v>34.5</v>
      </c>
      <c r="S84" s="1422">
        <v>34.5</v>
      </c>
      <c r="T84" s="1450">
        <v>34.5</v>
      </c>
      <c r="U84" s="1447">
        <v>26</v>
      </c>
      <c r="V84" s="1422">
        <v>26</v>
      </c>
      <c r="W84" s="1422">
        <v>26</v>
      </c>
      <c r="X84" s="1422">
        <v>26</v>
      </c>
      <c r="Y84" s="1422">
        <v>26</v>
      </c>
      <c r="Z84" s="1422">
        <v>26</v>
      </c>
      <c r="AA84" s="1422">
        <v>26</v>
      </c>
      <c r="AB84" s="1422">
        <v>26</v>
      </c>
      <c r="AC84" s="1422">
        <v>26</v>
      </c>
      <c r="AD84" s="1422">
        <v>26</v>
      </c>
      <c r="AE84" s="1448">
        <v>26</v>
      </c>
      <c r="AF84" s="1449">
        <v>26</v>
      </c>
      <c r="AG84" s="1422">
        <v>26</v>
      </c>
      <c r="AH84" s="1422">
        <v>26</v>
      </c>
      <c r="AI84" s="1422">
        <v>26</v>
      </c>
      <c r="AJ84" s="1422">
        <v>26</v>
      </c>
      <c r="AK84" s="1422">
        <v>26</v>
      </c>
      <c r="AL84" s="1422">
        <v>26</v>
      </c>
      <c r="AM84" s="1450">
        <v>26</v>
      </c>
    </row>
    <row r="85" spans="1:40">
      <c r="A85" s="118">
        <f t="shared" si="1"/>
        <v>18</v>
      </c>
      <c r="B85" s="1447">
        <v>30</v>
      </c>
      <c r="C85" s="1422">
        <v>30</v>
      </c>
      <c r="D85" s="1422">
        <v>30</v>
      </c>
      <c r="E85" s="1422">
        <v>30</v>
      </c>
      <c r="F85" s="1422">
        <v>30</v>
      </c>
      <c r="G85" s="1422">
        <v>30</v>
      </c>
      <c r="H85" s="1422">
        <v>30</v>
      </c>
      <c r="I85" s="1422">
        <v>30</v>
      </c>
      <c r="J85" s="1422">
        <v>30</v>
      </c>
      <c r="K85" s="1422">
        <v>30</v>
      </c>
      <c r="L85" s="1448">
        <v>30</v>
      </c>
      <c r="M85" s="1449">
        <v>34.5</v>
      </c>
      <c r="N85" s="1422">
        <v>34.5</v>
      </c>
      <c r="O85" s="1422">
        <v>34.5</v>
      </c>
      <c r="P85" s="1422">
        <v>34.5</v>
      </c>
      <c r="Q85" s="1422">
        <v>34.5</v>
      </c>
      <c r="R85" s="1422">
        <v>34.5</v>
      </c>
      <c r="S85" s="1422">
        <v>34.5</v>
      </c>
      <c r="T85" s="1450">
        <v>34.5</v>
      </c>
      <c r="U85" s="1447">
        <v>26</v>
      </c>
      <c r="V85" s="1422">
        <v>26</v>
      </c>
      <c r="W85" s="1422">
        <v>26</v>
      </c>
      <c r="X85" s="1422">
        <v>26</v>
      </c>
      <c r="Y85" s="1422">
        <v>26</v>
      </c>
      <c r="Z85" s="1422">
        <v>26</v>
      </c>
      <c r="AA85" s="1422">
        <v>26</v>
      </c>
      <c r="AB85" s="1422">
        <v>26</v>
      </c>
      <c r="AC85" s="1422">
        <v>26</v>
      </c>
      <c r="AD85" s="1422">
        <v>26</v>
      </c>
      <c r="AE85" s="1448">
        <v>26</v>
      </c>
      <c r="AF85" s="1449">
        <v>26</v>
      </c>
      <c r="AG85" s="1422">
        <v>26</v>
      </c>
      <c r="AH85" s="1422">
        <v>26</v>
      </c>
      <c r="AI85" s="1422">
        <v>26</v>
      </c>
      <c r="AJ85" s="1422">
        <v>26</v>
      </c>
      <c r="AK85" s="1422">
        <v>26</v>
      </c>
      <c r="AL85" s="1422">
        <v>26</v>
      </c>
      <c r="AM85" s="1450">
        <v>26</v>
      </c>
    </row>
    <row r="86" spans="1:40">
      <c r="A86" s="118">
        <f t="shared" si="1"/>
        <v>17</v>
      </c>
      <c r="B86" s="1447">
        <v>30</v>
      </c>
      <c r="C86" s="1422">
        <v>30</v>
      </c>
      <c r="D86" s="1422">
        <v>30</v>
      </c>
      <c r="E86" s="1422">
        <v>30</v>
      </c>
      <c r="F86" s="1422">
        <v>30</v>
      </c>
      <c r="G86" s="1422">
        <v>30</v>
      </c>
      <c r="H86" s="1422">
        <v>30</v>
      </c>
      <c r="I86" s="1422">
        <v>30</v>
      </c>
      <c r="J86" s="1422">
        <v>30</v>
      </c>
      <c r="K86" s="1422">
        <v>30</v>
      </c>
      <c r="L86" s="1448">
        <v>30</v>
      </c>
      <c r="M86" s="1449">
        <v>34.5</v>
      </c>
      <c r="N86" s="1422">
        <v>34.5</v>
      </c>
      <c r="O86" s="1422">
        <v>34.5</v>
      </c>
      <c r="P86" s="1422">
        <v>34.5</v>
      </c>
      <c r="Q86" s="1422">
        <v>34.5</v>
      </c>
      <c r="R86" s="1422">
        <v>34.5</v>
      </c>
      <c r="S86" s="1422">
        <v>34.5</v>
      </c>
      <c r="T86" s="1450">
        <v>34.5</v>
      </c>
      <c r="U86" s="1447">
        <v>26</v>
      </c>
      <c r="V86" s="1422">
        <v>26</v>
      </c>
      <c r="W86" s="1422">
        <v>26</v>
      </c>
      <c r="X86" s="1422">
        <v>26</v>
      </c>
      <c r="Y86" s="1422">
        <v>26</v>
      </c>
      <c r="Z86" s="1422">
        <v>26</v>
      </c>
      <c r="AA86" s="1422">
        <v>26</v>
      </c>
      <c r="AB86" s="1422">
        <v>26</v>
      </c>
      <c r="AC86" s="1422">
        <v>26</v>
      </c>
      <c r="AD86" s="1422">
        <v>26</v>
      </c>
      <c r="AE86" s="1448">
        <v>26</v>
      </c>
      <c r="AF86" s="1449">
        <v>26</v>
      </c>
      <c r="AG86" s="1422">
        <v>26</v>
      </c>
      <c r="AH86" s="1422">
        <v>26</v>
      </c>
      <c r="AI86" s="1422">
        <v>26</v>
      </c>
      <c r="AJ86" s="1422">
        <v>26</v>
      </c>
      <c r="AK86" s="1422">
        <v>26</v>
      </c>
      <c r="AL86" s="1422">
        <v>26</v>
      </c>
      <c r="AM86" s="1450">
        <v>26</v>
      </c>
    </row>
    <row r="87" spans="1:40">
      <c r="A87" s="118">
        <f t="shared" si="1"/>
        <v>16</v>
      </c>
      <c r="B87" s="1447">
        <v>30</v>
      </c>
      <c r="C87" s="1422">
        <v>30</v>
      </c>
      <c r="D87" s="1422">
        <v>30</v>
      </c>
      <c r="E87" s="1422">
        <v>30</v>
      </c>
      <c r="F87" s="1422">
        <v>30</v>
      </c>
      <c r="G87" s="1422">
        <v>30</v>
      </c>
      <c r="H87" s="1422">
        <v>30</v>
      </c>
      <c r="I87" s="1422">
        <v>30</v>
      </c>
      <c r="J87" s="1422">
        <v>30</v>
      </c>
      <c r="K87" s="1422">
        <v>30</v>
      </c>
      <c r="L87" s="1448">
        <v>30</v>
      </c>
      <c r="M87" s="1449">
        <v>34.5</v>
      </c>
      <c r="N87" s="1422">
        <v>34.5</v>
      </c>
      <c r="O87" s="1422">
        <v>34.5</v>
      </c>
      <c r="P87" s="1422">
        <v>34.5</v>
      </c>
      <c r="Q87" s="1422">
        <v>34.5</v>
      </c>
      <c r="R87" s="1422">
        <v>34.5</v>
      </c>
      <c r="S87" s="1422">
        <v>34.5</v>
      </c>
      <c r="T87" s="1450">
        <v>34.5</v>
      </c>
      <c r="U87" s="1447">
        <v>26</v>
      </c>
      <c r="V87" s="1422">
        <v>26</v>
      </c>
      <c r="W87" s="1422">
        <v>26</v>
      </c>
      <c r="X87" s="1422">
        <v>26</v>
      </c>
      <c r="Y87" s="1422">
        <v>26</v>
      </c>
      <c r="Z87" s="1422">
        <v>26</v>
      </c>
      <c r="AA87" s="1422">
        <v>26</v>
      </c>
      <c r="AB87" s="1422">
        <v>26</v>
      </c>
      <c r="AC87" s="1422">
        <v>26</v>
      </c>
      <c r="AD87" s="1422">
        <v>26</v>
      </c>
      <c r="AE87" s="1448">
        <v>26</v>
      </c>
      <c r="AF87" s="1449">
        <v>26</v>
      </c>
      <c r="AG87" s="1422">
        <v>26</v>
      </c>
      <c r="AH87" s="1422">
        <v>26</v>
      </c>
      <c r="AI87" s="1422">
        <v>26</v>
      </c>
      <c r="AJ87" s="1422">
        <v>26</v>
      </c>
      <c r="AK87" s="1422">
        <v>26</v>
      </c>
      <c r="AL87" s="1422">
        <v>26</v>
      </c>
      <c r="AM87" s="1450">
        <v>26</v>
      </c>
    </row>
    <row r="88" spans="1:40">
      <c r="A88" s="118">
        <f t="shared" si="1"/>
        <v>15</v>
      </c>
      <c r="B88" s="1447">
        <v>30</v>
      </c>
      <c r="C88" s="1422">
        <v>30</v>
      </c>
      <c r="D88" s="1422">
        <v>30</v>
      </c>
      <c r="E88" s="1422">
        <v>30</v>
      </c>
      <c r="F88" s="1422">
        <v>30</v>
      </c>
      <c r="G88" s="1422">
        <v>30</v>
      </c>
      <c r="H88" s="1422">
        <v>30</v>
      </c>
      <c r="I88" s="1422">
        <v>30</v>
      </c>
      <c r="J88" s="1422">
        <v>30</v>
      </c>
      <c r="K88" s="1422">
        <v>30</v>
      </c>
      <c r="L88" s="1448">
        <v>30</v>
      </c>
      <c r="M88" s="1449">
        <v>34.5</v>
      </c>
      <c r="N88" s="1422">
        <v>34.5</v>
      </c>
      <c r="O88" s="1422">
        <v>34.5</v>
      </c>
      <c r="P88" s="1422">
        <v>34.5</v>
      </c>
      <c r="Q88" s="1422">
        <v>34.5</v>
      </c>
      <c r="R88" s="1422">
        <v>34.5</v>
      </c>
      <c r="S88" s="1422">
        <v>34.5</v>
      </c>
      <c r="T88" s="1450">
        <v>34.5</v>
      </c>
      <c r="U88" s="1447">
        <v>26</v>
      </c>
      <c r="V88" s="1422">
        <v>26</v>
      </c>
      <c r="W88" s="1422">
        <v>26</v>
      </c>
      <c r="X88" s="1422">
        <v>26</v>
      </c>
      <c r="Y88" s="1422">
        <v>26</v>
      </c>
      <c r="Z88" s="1422">
        <v>26</v>
      </c>
      <c r="AA88" s="1422">
        <v>26</v>
      </c>
      <c r="AB88" s="1422">
        <v>26</v>
      </c>
      <c r="AC88" s="1422">
        <v>26</v>
      </c>
      <c r="AD88" s="1422">
        <v>26</v>
      </c>
      <c r="AE88" s="1448">
        <v>26</v>
      </c>
      <c r="AF88" s="1449">
        <v>26</v>
      </c>
      <c r="AG88" s="1422">
        <v>26</v>
      </c>
      <c r="AH88" s="1422">
        <v>26</v>
      </c>
      <c r="AI88" s="1422">
        <v>26</v>
      </c>
      <c r="AJ88" s="1422">
        <v>26</v>
      </c>
      <c r="AK88" s="1422">
        <v>26</v>
      </c>
      <c r="AL88" s="1422">
        <v>26</v>
      </c>
      <c r="AM88" s="1450">
        <v>26</v>
      </c>
    </row>
    <row r="89" spans="1:40">
      <c r="A89" s="118">
        <f t="shared" si="1"/>
        <v>14</v>
      </c>
      <c r="B89" s="1447">
        <v>30</v>
      </c>
      <c r="C89" s="1422">
        <v>30</v>
      </c>
      <c r="D89" s="1422">
        <v>30</v>
      </c>
      <c r="E89" s="1422">
        <v>30</v>
      </c>
      <c r="F89" s="1422">
        <v>30</v>
      </c>
      <c r="G89" s="1422">
        <v>30</v>
      </c>
      <c r="H89" s="1422">
        <v>30</v>
      </c>
      <c r="I89" s="1422">
        <v>30</v>
      </c>
      <c r="J89" s="1422">
        <v>30</v>
      </c>
      <c r="K89" s="1422">
        <v>30</v>
      </c>
      <c r="L89" s="1448">
        <v>30</v>
      </c>
      <c r="M89" s="1449">
        <v>34.5</v>
      </c>
      <c r="N89" s="1422">
        <v>34.5</v>
      </c>
      <c r="O89" s="1422">
        <v>34.5</v>
      </c>
      <c r="P89" s="1422">
        <v>34.5</v>
      </c>
      <c r="Q89" s="1422">
        <v>34.5</v>
      </c>
      <c r="R89" s="1422">
        <v>34.5</v>
      </c>
      <c r="S89" s="1422">
        <v>34.5</v>
      </c>
      <c r="T89" s="1450">
        <v>34.5</v>
      </c>
      <c r="U89" s="1447">
        <v>26</v>
      </c>
      <c r="V89" s="1422">
        <v>26</v>
      </c>
      <c r="W89" s="1422">
        <v>26</v>
      </c>
      <c r="X89" s="1422">
        <v>26</v>
      </c>
      <c r="Y89" s="1422">
        <v>26</v>
      </c>
      <c r="Z89" s="1422">
        <v>26</v>
      </c>
      <c r="AA89" s="1422">
        <v>26</v>
      </c>
      <c r="AB89" s="1422">
        <v>26</v>
      </c>
      <c r="AC89" s="1422">
        <v>26</v>
      </c>
      <c r="AD89" s="1422">
        <v>26</v>
      </c>
      <c r="AE89" s="1448">
        <v>26</v>
      </c>
      <c r="AF89" s="1449">
        <v>26</v>
      </c>
      <c r="AG89" s="1422">
        <v>26</v>
      </c>
      <c r="AH89" s="1422">
        <v>26</v>
      </c>
      <c r="AI89" s="1422">
        <v>26</v>
      </c>
      <c r="AJ89" s="1422">
        <v>26</v>
      </c>
      <c r="AK89" s="1422">
        <v>26</v>
      </c>
      <c r="AL89" s="1422">
        <v>26</v>
      </c>
      <c r="AM89" s="1450">
        <v>26</v>
      </c>
    </row>
    <row r="90" spans="1:40">
      <c r="A90" s="118">
        <f t="shared" si="1"/>
        <v>13</v>
      </c>
      <c r="B90" s="1447">
        <v>30</v>
      </c>
      <c r="C90" s="1422">
        <v>30</v>
      </c>
      <c r="D90" s="1422">
        <v>30</v>
      </c>
      <c r="E90" s="1422">
        <v>30</v>
      </c>
      <c r="F90" s="1422">
        <v>30</v>
      </c>
      <c r="G90" s="1422">
        <v>30</v>
      </c>
      <c r="H90" s="1422">
        <v>30</v>
      </c>
      <c r="I90" s="1422">
        <v>30</v>
      </c>
      <c r="J90" s="1422">
        <v>30</v>
      </c>
      <c r="K90" s="1422">
        <v>30</v>
      </c>
      <c r="L90" s="1448">
        <v>30</v>
      </c>
      <c r="M90" s="1449">
        <v>34.5</v>
      </c>
      <c r="N90" s="1422">
        <v>34.5</v>
      </c>
      <c r="O90" s="1422">
        <v>34.5</v>
      </c>
      <c r="P90" s="1422">
        <v>34.5</v>
      </c>
      <c r="Q90" s="1422">
        <v>34.5</v>
      </c>
      <c r="R90" s="1422">
        <v>34.5</v>
      </c>
      <c r="S90" s="1422">
        <v>34.5</v>
      </c>
      <c r="T90" s="1450">
        <v>34.5</v>
      </c>
      <c r="U90" s="1447">
        <v>26</v>
      </c>
      <c r="V90" s="1422">
        <v>26</v>
      </c>
      <c r="W90" s="1422">
        <v>26</v>
      </c>
      <c r="X90" s="1422">
        <v>26</v>
      </c>
      <c r="Y90" s="1422">
        <v>26</v>
      </c>
      <c r="Z90" s="1422">
        <v>26</v>
      </c>
      <c r="AA90" s="1422">
        <v>26</v>
      </c>
      <c r="AB90" s="1422">
        <v>26</v>
      </c>
      <c r="AC90" s="1422">
        <v>26</v>
      </c>
      <c r="AD90" s="1422">
        <v>26</v>
      </c>
      <c r="AE90" s="1448">
        <v>26</v>
      </c>
      <c r="AF90" s="1449">
        <v>26</v>
      </c>
      <c r="AG90" s="1422">
        <v>26</v>
      </c>
      <c r="AH90" s="1422">
        <v>26</v>
      </c>
      <c r="AI90" s="1422">
        <v>26</v>
      </c>
      <c r="AJ90" s="1422">
        <v>26</v>
      </c>
      <c r="AK90" s="1422">
        <v>26</v>
      </c>
      <c r="AL90" s="1422">
        <v>26</v>
      </c>
      <c r="AM90" s="1450">
        <v>26</v>
      </c>
    </row>
    <row r="91" spans="1:40">
      <c r="A91" s="118">
        <f t="shared" si="1"/>
        <v>12</v>
      </c>
      <c r="B91" s="1447">
        <v>30</v>
      </c>
      <c r="C91" s="1422">
        <v>30</v>
      </c>
      <c r="D91" s="1422">
        <v>30</v>
      </c>
      <c r="E91" s="1422">
        <v>30</v>
      </c>
      <c r="F91" s="1422">
        <v>30</v>
      </c>
      <c r="G91" s="1422">
        <v>30</v>
      </c>
      <c r="H91" s="1422">
        <v>30</v>
      </c>
      <c r="I91" s="1422">
        <v>30</v>
      </c>
      <c r="J91" s="1422">
        <v>30</v>
      </c>
      <c r="K91" s="1422">
        <v>30</v>
      </c>
      <c r="L91" s="1448">
        <v>30</v>
      </c>
      <c r="M91" s="1449">
        <v>34.5</v>
      </c>
      <c r="N91" s="1422">
        <v>34.5</v>
      </c>
      <c r="O91" s="1422">
        <v>34.5</v>
      </c>
      <c r="P91" s="1422">
        <v>34.5</v>
      </c>
      <c r="Q91" s="1422">
        <v>34.5</v>
      </c>
      <c r="R91" s="1422">
        <v>34.5</v>
      </c>
      <c r="S91" s="1422">
        <v>34.5</v>
      </c>
      <c r="T91" s="1450">
        <v>34.5</v>
      </c>
      <c r="U91" s="1447">
        <v>26</v>
      </c>
      <c r="V91" s="1422">
        <v>26</v>
      </c>
      <c r="W91" s="1422">
        <v>26</v>
      </c>
      <c r="X91" s="1422">
        <v>26</v>
      </c>
      <c r="Y91" s="1422">
        <v>26</v>
      </c>
      <c r="Z91" s="1422">
        <v>26</v>
      </c>
      <c r="AA91" s="1422">
        <v>26</v>
      </c>
      <c r="AB91" s="1422">
        <v>26</v>
      </c>
      <c r="AC91" s="1422">
        <v>26</v>
      </c>
      <c r="AD91" s="1422">
        <v>26</v>
      </c>
      <c r="AE91" s="1448">
        <v>26</v>
      </c>
      <c r="AF91" s="1449">
        <v>26</v>
      </c>
      <c r="AG91" s="1422">
        <v>26</v>
      </c>
      <c r="AH91" s="1422">
        <v>26</v>
      </c>
      <c r="AI91" s="1422">
        <v>26</v>
      </c>
      <c r="AJ91" s="1422">
        <v>26</v>
      </c>
      <c r="AK91" s="1422">
        <v>26</v>
      </c>
      <c r="AL91" s="1422">
        <v>26</v>
      </c>
      <c r="AM91" s="1450">
        <v>26</v>
      </c>
    </row>
    <row r="92" spans="1:40">
      <c r="A92" s="118">
        <f t="shared" si="1"/>
        <v>11</v>
      </c>
      <c r="B92" s="1447">
        <v>30</v>
      </c>
      <c r="C92" s="1422">
        <v>30</v>
      </c>
      <c r="D92" s="1422">
        <v>30</v>
      </c>
      <c r="E92" s="1422">
        <v>30</v>
      </c>
      <c r="F92" s="1422">
        <v>30</v>
      </c>
      <c r="G92" s="1422">
        <v>30</v>
      </c>
      <c r="H92" s="1422">
        <v>30</v>
      </c>
      <c r="I92" s="1422">
        <v>30</v>
      </c>
      <c r="J92" s="1422">
        <v>30</v>
      </c>
      <c r="K92" s="1422">
        <v>30</v>
      </c>
      <c r="L92" s="1448">
        <v>30</v>
      </c>
      <c r="M92" s="1449">
        <v>34.5</v>
      </c>
      <c r="N92" s="1422">
        <v>34.5</v>
      </c>
      <c r="O92" s="1422">
        <v>34.5</v>
      </c>
      <c r="P92" s="1422">
        <v>34.5</v>
      </c>
      <c r="Q92" s="1422">
        <v>34.5</v>
      </c>
      <c r="R92" s="1422">
        <v>34.5</v>
      </c>
      <c r="S92" s="1422">
        <v>34.5</v>
      </c>
      <c r="T92" s="1450">
        <v>34.5</v>
      </c>
      <c r="U92" s="1447">
        <v>26</v>
      </c>
      <c r="V92" s="1422">
        <v>26</v>
      </c>
      <c r="W92" s="1422">
        <v>26</v>
      </c>
      <c r="X92" s="1422">
        <v>26</v>
      </c>
      <c r="Y92" s="1422">
        <v>26</v>
      </c>
      <c r="Z92" s="1422">
        <v>26</v>
      </c>
      <c r="AA92" s="1422">
        <v>26</v>
      </c>
      <c r="AB92" s="1422">
        <v>26</v>
      </c>
      <c r="AC92" s="1422">
        <v>26</v>
      </c>
      <c r="AD92" s="1422">
        <v>26</v>
      </c>
      <c r="AE92" s="1448">
        <v>26</v>
      </c>
      <c r="AF92" s="1449">
        <v>26</v>
      </c>
      <c r="AG92" s="1422">
        <v>26</v>
      </c>
      <c r="AH92" s="1422">
        <v>26</v>
      </c>
      <c r="AI92" s="1422">
        <v>26</v>
      </c>
      <c r="AJ92" s="1422">
        <v>26</v>
      </c>
      <c r="AK92" s="1422">
        <v>26</v>
      </c>
      <c r="AL92" s="1422">
        <v>26</v>
      </c>
      <c r="AM92" s="1450">
        <v>26</v>
      </c>
    </row>
    <row r="93" spans="1:40">
      <c r="A93" s="118">
        <f t="shared" si="1"/>
        <v>10</v>
      </c>
      <c r="B93" s="1447">
        <v>30</v>
      </c>
      <c r="C93" s="1422">
        <v>30</v>
      </c>
      <c r="D93" s="1422">
        <v>30</v>
      </c>
      <c r="E93" s="1422">
        <v>30</v>
      </c>
      <c r="F93" s="1422">
        <v>30</v>
      </c>
      <c r="G93" s="1422">
        <v>30</v>
      </c>
      <c r="H93" s="1422">
        <v>30</v>
      </c>
      <c r="I93" s="1422">
        <v>30</v>
      </c>
      <c r="J93" s="1422">
        <v>30</v>
      </c>
      <c r="K93" s="1422">
        <v>30</v>
      </c>
      <c r="L93" s="1448">
        <v>30</v>
      </c>
      <c r="M93" s="1449">
        <v>34.5</v>
      </c>
      <c r="N93" s="1422">
        <v>34.5</v>
      </c>
      <c r="O93" s="1422">
        <v>34.5</v>
      </c>
      <c r="P93" s="1422">
        <v>34.5</v>
      </c>
      <c r="Q93" s="1422">
        <v>34.5</v>
      </c>
      <c r="R93" s="1422">
        <v>34.5</v>
      </c>
      <c r="S93" s="1422">
        <v>34.5</v>
      </c>
      <c r="T93" s="1450">
        <v>34.5</v>
      </c>
      <c r="U93" s="1447">
        <v>26</v>
      </c>
      <c r="V93" s="1422">
        <v>26</v>
      </c>
      <c r="W93" s="1422">
        <v>26</v>
      </c>
      <c r="X93" s="1422">
        <v>26</v>
      </c>
      <c r="Y93" s="1422">
        <v>26</v>
      </c>
      <c r="Z93" s="1422">
        <v>26</v>
      </c>
      <c r="AA93" s="1422">
        <v>26</v>
      </c>
      <c r="AB93" s="1422">
        <v>26</v>
      </c>
      <c r="AC93" s="1422">
        <v>26</v>
      </c>
      <c r="AD93" s="1422">
        <v>26</v>
      </c>
      <c r="AE93" s="1448">
        <v>26</v>
      </c>
      <c r="AF93" s="1449">
        <v>26</v>
      </c>
      <c r="AG93" s="1422">
        <v>26</v>
      </c>
      <c r="AH93" s="1422">
        <v>26</v>
      </c>
      <c r="AI93" s="1422">
        <v>26</v>
      </c>
      <c r="AJ93" s="1422">
        <v>26</v>
      </c>
      <c r="AK93" s="1422">
        <v>26</v>
      </c>
      <c r="AL93" s="1422">
        <v>26</v>
      </c>
      <c r="AM93" s="1450">
        <v>26</v>
      </c>
    </row>
    <row r="94" spans="1:40">
      <c r="A94" s="118">
        <f t="shared" si="1"/>
        <v>9</v>
      </c>
      <c r="B94" s="1447">
        <v>30</v>
      </c>
      <c r="C94" s="1422">
        <v>30</v>
      </c>
      <c r="D94" s="1422">
        <v>30</v>
      </c>
      <c r="E94" s="1422">
        <v>30</v>
      </c>
      <c r="F94" s="1422">
        <v>30</v>
      </c>
      <c r="G94" s="1422">
        <v>30</v>
      </c>
      <c r="H94" s="1422">
        <v>30</v>
      </c>
      <c r="I94" s="1422">
        <v>30</v>
      </c>
      <c r="J94" s="1422">
        <v>30</v>
      </c>
      <c r="K94" s="1422">
        <v>30</v>
      </c>
      <c r="L94" s="1448">
        <v>30</v>
      </c>
      <c r="M94" s="1449">
        <v>34.5</v>
      </c>
      <c r="N94" s="1422">
        <v>34.5</v>
      </c>
      <c r="O94" s="1422">
        <v>34.5</v>
      </c>
      <c r="P94" s="1422">
        <v>34.5</v>
      </c>
      <c r="Q94" s="1422">
        <v>34.5</v>
      </c>
      <c r="R94" s="1422">
        <v>34.5</v>
      </c>
      <c r="S94" s="1422">
        <v>34.5</v>
      </c>
      <c r="T94" s="1450">
        <v>34.5</v>
      </c>
      <c r="U94" s="1447">
        <v>26</v>
      </c>
      <c r="V94" s="1422">
        <v>26</v>
      </c>
      <c r="W94" s="1422">
        <v>26</v>
      </c>
      <c r="X94" s="1422">
        <v>26</v>
      </c>
      <c r="Y94" s="1422">
        <v>26</v>
      </c>
      <c r="Z94" s="1422">
        <v>26</v>
      </c>
      <c r="AA94" s="1422">
        <v>26</v>
      </c>
      <c r="AB94" s="1422">
        <v>26</v>
      </c>
      <c r="AC94" s="1422">
        <v>26</v>
      </c>
      <c r="AD94" s="1422">
        <v>26</v>
      </c>
      <c r="AE94" s="1448">
        <v>26</v>
      </c>
      <c r="AF94" s="1449">
        <v>26</v>
      </c>
      <c r="AG94" s="1422">
        <v>26</v>
      </c>
      <c r="AH94" s="1422">
        <v>26</v>
      </c>
      <c r="AI94" s="1422">
        <v>26</v>
      </c>
      <c r="AJ94" s="1422">
        <v>26</v>
      </c>
      <c r="AK94" s="1422">
        <v>26</v>
      </c>
      <c r="AL94" s="1422">
        <v>26</v>
      </c>
      <c r="AM94" s="1450">
        <v>26</v>
      </c>
    </row>
    <row r="95" spans="1:40">
      <c r="A95" s="118">
        <f t="shared" si="1"/>
        <v>8</v>
      </c>
      <c r="B95" s="1447">
        <v>30</v>
      </c>
      <c r="C95" s="1422">
        <v>30</v>
      </c>
      <c r="D95" s="1422">
        <v>30</v>
      </c>
      <c r="E95" s="1422">
        <v>30</v>
      </c>
      <c r="F95" s="1422">
        <v>30</v>
      </c>
      <c r="G95" s="1422">
        <v>30</v>
      </c>
      <c r="H95" s="1422">
        <v>30</v>
      </c>
      <c r="I95" s="1422">
        <v>30</v>
      </c>
      <c r="J95" s="1422">
        <v>30</v>
      </c>
      <c r="K95" s="1422">
        <v>30</v>
      </c>
      <c r="L95" s="1448">
        <v>30</v>
      </c>
      <c r="M95" s="1449">
        <v>34.5</v>
      </c>
      <c r="N95" s="1422">
        <v>34.5</v>
      </c>
      <c r="O95" s="1422">
        <v>34.5</v>
      </c>
      <c r="P95" s="1422">
        <v>34.5</v>
      </c>
      <c r="Q95" s="1422">
        <v>34.5</v>
      </c>
      <c r="R95" s="1422">
        <v>34.5</v>
      </c>
      <c r="S95" s="1422">
        <v>34.5</v>
      </c>
      <c r="T95" s="1450">
        <v>34.5</v>
      </c>
      <c r="U95" s="1447">
        <v>26</v>
      </c>
      <c r="V95" s="1422">
        <v>26</v>
      </c>
      <c r="W95" s="1422">
        <v>26</v>
      </c>
      <c r="X95" s="1422">
        <v>26</v>
      </c>
      <c r="Y95" s="1422">
        <v>26</v>
      </c>
      <c r="Z95" s="1422">
        <v>26</v>
      </c>
      <c r="AA95" s="1422">
        <v>26</v>
      </c>
      <c r="AB95" s="1422">
        <v>26</v>
      </c>
      <c r="AC95" s="1422">
        <v>26</v>
      </c>
      <c r="AD95" s="1422">
        <v>26</v>
      </c>
      <c r="AE95" s="1448">
        <v>26</v>
      </c>
      <c r="AF95" s="1449">
        <v>26</v>
      </c>
      <c r="AG95" s="1422">
        <v>26</v>
      </c>
      <c r="AH95" s="1422">
        <v>26</v>
      </c>
      <c r="AI95" s="1422">
        <v>26</v>
      </c>
      <c r="AJ95" s="1422">
        <v>26</v>
      </c>
      <c r="AK95" s="1422">
        <v>26</v>
      </c>
      <c r="AL95" s="1422">
        <v>26</v>
      </c>
      <c r="AM95" s="1450">
        <v>26</v>
      </c>
    </row>
    <row r="96" spans="1:40">
      <c r="A96" s="118">
        <f t="shared" si="1"/>
        <v>7</v>
      </c>
      <c r="B96" s="1447">
        <v>30</v>
      </c>
      <c r="C96" s="1422">
        <v>30</v>
      </c>
      <c r="D96" s="1422">
        <v>30</v>
      </c>
      <c r="E96" s="1422">
        <v>30</v>
      </c>
      <c r="F96" s="1422">
        <v>30</v>
      </c>
      <c r="G96" s="1422">
        <v>30</v>
      </c>
      <c r="H96" s="1422">
        <v>30</v>
      </c>
      <c r="I96" s="1422">
        <v>30</v>
      </c>
      <c r="J96" s="1422">
        <v>30</v>
      </c>
      <c r="K96" s="1422">
        <v>30</v>
      </c>
      <c r="L96" s="1448">
        <v>30</v>
      </c>
      <c r="M96" s="1449">
        <v>34.5</v>
      </c>
      <c r="N96" s="1422">
        <v>34.5</v>
      </c>
      <c r="O96" s="1422">
        <v>34.5</v>
      </c>
      <c r="P96" s="1422">
        <v>34.5</v>
      </c>
      <c r="Q96" s="1422">
        <v>34.5</v>
      </c>
      <c r="R96" s="1422">
        <v>34.5</v>
      </c>
      <c r="S96" s="1422">
        <v>34.5</v>
      </c>
      <c r="T96" s="1450">
        <v>34.5</v>
      </c>
      <c r="U96" s="1447">
        <v>26</v>
      </c>
      <c r="V96" s="1422">
        <v>26</v>
      </c>
      <c r="W96" s="1422">
        <v>26</v>
      </c>
      <c r="X96" s="1422">
        <v>26</v>
      </c>
      <c r="Y96" s="1422">
        <v>26</v>
      </c>
      <c r="Z96" s="1422">
        <v>26</v>
      </c>
      <c r="AA96" s="1422">
        <v>26</v>
      </c>
      <c r="AB96" s="1422">
        <v>26</v>
      </c>
      <c r="AC96" s="1422">
        <v>26</v>
      </c>
      <c r="AD96" s="1422">
        <v>26</v>
      </c>
      <c r="AE96" s="1448">
        <v>26</v>
      </c>
      <c r="AF96" s="1449">
        <v>26</v>
      </c>
      <c r="AG96" s="1422">
        <v>26</v>
      </c>
      <c r="AH96" s="1422">
        <v>26</v>
      </c>
      <c r="AI96" s="1422">
        <v>26</v>
      </c>
      <c r="AJ96" s="1422">
        <v>26</v>
      </c>
      <c r="AK96" s="1422">
        <v>26</v>
      </c>
      <c r="AL96" s="1422">
        <v>26</v>
      </c>
      <c r="AM96" s="1450">
        <v>26</v>
      </c>
    </row>
    <row r="97" spans="1:39">
      <c r="A97" s="118">
        <f t="shared" si="1"/>
        <v>6</v>
      </c>
      <c r="B97" s="1447">
        <v>30</v>
      </c>
      <c r="C97" s="1422">
        <v>30</v>
      </c>
      <c r="D97" s="1422">
        <v>30</v>
      </c>
      <c r="E97" s="1422">
        <v>30</v>
      </c>
      <c r="F97" s="1422">
        <v>30</v>
      </c>
      <c r="G97" s="1422">
        <v>30</v>
      </c>
      <c r="H97" s="1422">
        <v>30</v>
      </c>
      <c r="I97" s="1422">
        <v>30</v>
      </c>
      <c r="J97" s="1422">
        <v>30</v>
      </c>
      <c r="K97" s="1422">
        <v>30</v>
      </c>
      <c r="L97" s="1448">
        <v>30</v>
      </c>
      <c r="M97" s="1449">
        <v>34.5</v>
      </c>
      <c r="N97" s="1422">
        <v>34.5</v>
      </c>
      <c r="O97" s="1422">
        <v>34.5</v>
      </c>
      <c r="P97" s="1422">
        <v>34.5</v>
      </c>
      <c r="Q97" s="1422">
        <v>34.5</v>
      </c>
      <c r="R97" s="1422">
        <v>34.5</v>
      </c>
      <c r="S97" s="1422">
        <v>34.5</v>
      </c>
      <c r="T97" s="1450">
        <v>34.5</v>
      </c>
      <c r="U97" s="1447">
        <v>26</v>
      </c>
      <c r="V97" s="1422">
        <v>26</v>
      </c>
      <c r="W97" s="1422">
        <v>26</v>
      </c>
      <c r="X97" s="1422">
        <v>26</v>
      </c>
      <c r="Y97" s="1422">
        <v>26</v>
      </c>
      <c r="Z97" s="1422">
        <v>26</v>
      </c>
      <c r="AA97" s="1422">
        <v>26</v>
      </c>
      <c r="AB97" s="1422">
        <v>26</v>
      </c>
      <c r="AC97" s="1422">
        <v>26</v>
      </c>
      <c r="AD97" s="1422">
        <v>26</v>
      </c>
      <c r="AE97" s="1448">
        <v>26</v>
      </c>
      <c r="AF97" s="1449">
        <v>26</v>
      </c>
      <c r="AG97" s="1422">
        <v>26</v>
      </c>
      <c r="AH97" s="1422">
        <v>26</v>
      </c>
      <c r="AI97" s="1422">
        <v>26</v>
      </c>
      <c r="AJ97" s="1422">
        <v>26</v>
      </c>
      <c r="AK97" s="1422">
        <v>26</v>
      </c>
      <c r="AL97" s="1422">
        <v>26</v>
      </c>
      <c r="AM97" s="1450">
        <v>26</v>
      </c>
    </row>
    <row r="98" spans="1:39">
      <c r="A98" s="118">
        <f t="shared" si="1"/>
        <v>5</v>
      </c>
      <c r="B98" s="1447">
        <v>30</v>
      </c>
      <c r="C98" s="1422">
        <v>30</v>
      </c>
      <c r="D98" s="1422">
        <v>30</v>
      </c>
      <c r="E98" s="1422">
        <v>30</v>
      </c>
      <c r="F98" s="1422">
        <v>30</v>
      </c>
      <c r="G98" s="1422">
        <v>30</v>
      </c>
      <c r="H98" s="1422">
        <v>30</v>
      </c>
      <c r="I98" s="1422">
        <v>30</v>
      </c>
      <c r="J98" s="1422">
        <v>30</v>
      </c>
      <c r="K98" s="1422">
        <v>30</v>
      </c>
      <c r="L98" s="1448">
        <v>30</v>
      </c>
      <c r="M98" s="1449">
        <v>34.5</v>
      </c>
      <c r="N98" s="1422">
        <v>34.5</v>
      </c>
      <c r="O98" s="1422">
        <v>34.5</v>
      </c>
      <c r="P98" s="1422">
        <v>34.5</v>
      </c>
      <c r="Q98" s="1422">
        <v>34.5</v>
      </c>
      <c r="R98" s="1422">
        <v>34.5</v>
      </c>
      <c r="S98" s="1422">
        <v>34.5</v>
      </c>
      <c r="T98" s="1450">
        <v>34.5</v>
      </c>
      <c r="U98" s="1447">
        <v>26</v>
      </c>
      <c r="V98" s="1422">
        <v>26</v>
      </c>
      <c r="W98" s="1422">
        <v>26</v>
      </c>
      <c r="X98" s="1422">
        <v>26</v>
      </c>
      <c r="Y98" s="1422">
        <v>26</v>
      </c>
      <c r="Z98" s="1422">
        <v>26</v>
      </c>
      <c r="AA98" s="1422">
        <v>26</v>
      </c>
      <c r="AB98" s="1422">
        <v>26</v>
      </c>
      <c r="AC98" s="1422">
        <v>26</v>
      </c>
      <c r="AD98" s="1422">
        <v>26</v>
      </c>
      <c r="AE98" s="1448">
        <v>26</v>
      </c>
      <c r="AF98" s="1449">
        <v>26</v>
      </c>
      <c r="AG98" s="1422">
        <v>26</v>
      </c>
      <c r="AH98" s="1422">
        <v>26</v>
      </c>
      <c r="AI98" s="1422">
        <v>26</v>
      </c>
      <c r="AJ98" s="1422">
        <v>26</v>
      </c>
      <c r="AK98" s="1422">
        <v>26</v>
      </c>
      <c r="AL98" s="1422">
        <v>26</v>
      </c>
      <c r="AM98" s="1450">
        <v>26</v>
      </c>
    </row>
    <row r="99" spans="1:39">
      <c r="A99" s="118">
        <f t="shared" si="1"/>
        <v>4</v>
      </c>
      <c r="B99" s="1447">
        <v>30</v>
      </c>
      <c r="C99" s="1422">
        <v>30</v>
      </c>
      <c r="D99" s="1422">
        <v>30</v>
      </c>
      <c r="E99" s="1422">
        <v>30</v>
      </c>
      <c r="F99" s="1422">
        <v>30</v>
      </c>
      <c r="G99" s="1422">
        <v>30</v>
      </c>
      <c r="H99" s="1422">
        <v>30</v>
      </c>
      <c r="I99" s="1422">
        <v>30</v>
      </c>
      <c r="J99" s="1422">
        <v>30</v>
      </c>
      <c r="K99" s="1422">
        <v>30</v>
      </c>
      <c r="L99" s="1448">
        <v>30</v>
      </c>
      <c r="M99" s="1449">
        <v>34.5</v>
      </c>
      <c r="N99" s="1422">
        <v>34.5</v>
      </c>
      <c r="O99" s="1422">
        <v>34.5</v>
      </c>
      <c r="P99" s="1422">
        <v>34.5</v>
      </c>
      <c r="Q99" s="1422">
        <v>34.5</v>
      </c>
      <c r="R99" s="1422">
        <v>34.5</v>
      </c>
      <c r="S99" s="1422">
        <v>34.5</v>
      </c>
      <c r="T99" s="1450">
        <v>34.5</v>
      </c>
      <c r="U99" s="1447">
        <v>26</v>
      </c>
      <c r="V99" s="1422">
        <v>26</v>
      </c>
      <c r="W99" s="1422">
        <v>26</v>
      </c>
      <c r="X99" s="1422">
        <v>26</v>
      </c>
      <c r="Y99" s="1422">
        <v>26</v>
      </c>
      <c r="Z99" s="1422">
        <v>26</v>
      </c>
      <c r="AA99" s="1422">
        <v>26</v>
      </c>
      <c r="AB99" s="1422">
        <v>26</v>
      </c>
      <c r="AC99" s="1422">
        <v>26</v>
      </c>
      <c r="AD99" s="1422">
        <v>26</v>
      </c>
      <c r="AE99" s="1448">
        <v>26</v>
      </c>
      <c r="AF99" s="1449">
        <v>26</v>
      </c>
      <c r="AG99" s="1422">
        <v>26</v>
      </c>
      <c r="AH99" s="1422">
        <v>26</v>
      </c>
      <c r="AI99" s="1422">
        <v>26</v>
      </c>
      <c r="AJ99" s="1422">
        <v>26</v>
      </c>
      <c r="AK99" s="1422">
        <v>26</v>
      </c>
      <c r="AL99" s="1422">
        <v>26</v>
      </c>
      <c r="AM99" s="1450">
        <v>26</v>
      </c>
    </row>
    <row r="100" spans="1:39">
      <c r="A100" s="118">
        <f t="shared" si="1"/>
        <v>3</v>
      </c>
      <c r="B100" s="1447">
        <v>30</v>
      </c>
      <c r="C100" s="1422">
        <v>30</v>
      </c>
      <c r="D100" s="1422">
        <v>30</v>
      </c>
      <c r="E100" s="1422">
        <v>30</v>
      </c>
      <c r="F100" s="1422">
        <v>30</v>
      </c>
      <c r="G100" s="1422">
        <v>30</v>
      </c>
      <c r="H100" s="1422">
        <v>30</v>
      </c>
      <c r="I100" s="1422">
        <v>30</v>
      </c>
      <c r="J100" s="1422">
        <v>30</v>
      </c>
      <c r="K100" s="1422">
        <v>30</v>
      </c>
      <c r="L100" s="1448">
        <v>30</v>
      </c>
      <c r="M100" s="1449">
        <v>34.5</v>
      </c>
      <c r="N100" s="1422">
        <v>34.5</v>
      </c>
      <c r="O100" s="1422">
        <v>34.5</v>
      </c>
      <c r="P100" s="1422">
        <v>34.5</v>
      </c>
      <c r="Q100" s="1422">
        <v>34.5</v>
      </c>
      <c r="R100" s="1422">
        <v>34.5</v>
      </c>
      <c r="S100" s="1422">
        <v>34.5</v>
      </c>
      <c r="T100" s="1450">
        <v>34.5</v>
      </c>
      <c r="U100" s="1447">
        <v>26</v>
      </c>
      <c r="V100" s="1422">
        <v>26</v>
      </c>
      <c r="W100" s="1422">
        <v>26</v>
      </c>
      <c r="X100" s="1422">
        <v>26</v>
      </c>
      <c r="Y100" s="1422">
        <v>26</v>
      </c>
      <c r="Z100" s="1422">
        <v>26</v>
      </c>
      <c r="AA100" s="1422">
        <v>26</v>
      </c>
      <c r="AB100" s="1422">
        <v>26</v>
      </c>
      <c r="AC100" s="1422">
        <v>26</v>
      </c>
      <c r="AD100" s="1422">
        <v>26</v>
      </c>
      <c r="AE100" s="1448">
        <v>26</v>
      </c>
      <c r="AF100" s="1449">
        <v>26</v>
      </c>
      <c r="AG100" s="1422">
        <v>26</v>
      </c>
      <c r="AH100" s="1422">
        <v>26</v>
      </c>
      <c r="AI100" s="1422">
        <v>26</v>
      </c>
      <c r="AJ100" s="1422">
        <v>26</v>
      </c>
      <c r="AK100" s="1422">
        <v>26</v>
      </c>
      <c r="AL100" s="1422">
        <v>26</v>
      </c>
      <c r="AM100" s="1450">
        <v>26</v>
      </c>
    </row>
    <row r="101" spans="1:39">
      <c r="A101" s="118">
        <f t="shared" si="1"/>
        <v>2</v>
      </c>
      <c r="B101" s="1447">
        <v>30</v>
      </c>
      <c r="C101" s="1422">
        <v>30</v>
      </c>
      <c r="D101" s="1422">
        <v>30</v>
      </c>
      <c r="E101" s="1422">
        <v>30</v>
      </c>
      <c r="F101" s="1422">
        <v>30</v>
      </c>
      <c r="G101" s="1422">
        <v>30</v>
      </c>
      <c r="H101" s="1422">
        <v>30</v>
      </c>
      <c r="I101" s="1422">
        <v>30</v>
      </c>
      <c r="J101" s="1422">
        <v>30</v>
      </c>
      <c r="K101" s="1422">
        <v>30</v>
      </c>
      <c r="L101" s="1448">
        <v>30</v>
      </c>
      <c r="M101" s="1449">
        <v>34.5</v>
      </c>
      <c r="N101" s="1422">
        <v>34.5</v>
      </c>
      <c r="O101" s="1422">
        <v>34.5</v>
      </c>
      <c r="P101" s="1422">
        <v>34.5</v>
      </c>
      <c r="Q101" s="1422">
        <v>34.5</v>
      </c>
      <c r="R101" s="1422">
        <v>34.5</v>
      </c>
      <c r="S101" s="1422">
        <v>34.5</v>
      </c>
      <c r="T101" s="1450">
        <v>34.5</v>
      </c>
      <c r="U101" s="1447">
        <v>26</v>
      </c>
      <c r="V101" s="1422">
        <v>26</v>
      </c>
      <c r="W101" s="1422">
        <v>26</v>
      </c>
      <c r="X101" s="1422">
        <v>26</v>
      </c>
      <c r="Y101" s="1422">
        <v>26</v>
      </c>
      <c r="Z101" s="1422">
        <v>26</v>
      </c>
      <c r="AA101" s="1422">
        <v>26</v>
      </c>
      <c r="AB101" s="1422">
        <v>26</v>
      </c>
      <c r="AC101" s="1422">
        <v>26</v>
      </c>
      <c r="AD101" s="1422">
        <v>26</v>
      </c>
      <c r="AE101" s="1448">
        <v>26</v>
      </c>
      <c r="AF101" s="1449">
        <v>26</v>
      </c>
      <c r="AG101" s="1422">
        <v>26</v>
      </c>
      <c r="AH101" s="1422">
        <v>26</v>
      </c>
      <c r="AI101" s="1422">
        <v>26</v>
      </c>
      <c r="AJ101" s="1422">
        <v>26</v>
      </c>
      <c r="AK101" s="1422">
        <v>26</v>
      </c>
      <c r="AL101" s="1422">
        <v>26</v>
      </c>
      <c r="AM101" s="1450">
        <v>26</v>
      </c>
    </row>
    <row r="102" spans="1:39">
      <c r="A102" s="118">
        <f t="shared" si="1"/>
        <v>1</v>
      </c>
      <c r="B102" s="1447">
        <v>30</v>
      </c>
      <c r="C102" s="1422">
        <v>30</v>
      </c>
      <c r="D102" s="1422">
        <v>30</v>
      </c>
      <c r="E102" s="1422">
        <v>30</v>
      </c>
      <c r="F102" s="1422">
        <v>30</v>
      </c>
      <c r="G102" s="1422">
        <v>30</v>
      </c>
      <c r="H102" s="1422">
        <v>30</v>
      </c>
      <c r="I102" s="1422">
        <v>30</v>
      </c>
      <c r="J102" s="1422">
        <v>30</v>
      </c>
      <c r="K102" s="1422">
        <v>30</v>
      </c>
      <c r="L102" s="1448">
        <v>30</v>
      </c>
      <c r="M102" s="1449">
        <v>34.5</v>
      </c>
      <c r="N102" s="1422">
        <v>34.5</v>
      </c>
      <c r="O102" s="1422">
        <v>34.5</v>
      </c>
      <c r="P102" s="1422">
        <v>34.5</v>
      </c>
      <c r="Q102" s="1422">
        <v>34.5</v>
      </c>
      <c r="R102" s="1422">
        <v>34.5</v>
      </c>
      <c r="S102" s="1422">
        <v>34.5</v>
      </c>
      <c r="T102" s="1450">
        <v>34.5</v>
      </c>
      <c r="U102" s="1447">
        <v>26</v>
      </c>
      <c r="V102" s="1422">
        <v>26</v>
      </c>
      <c r="W102" s="1422">
        <v>26</v>
      </c>
      <c r="X102" s="1422">
        <v>26</v>
      </c>
      <c r="Y102" s="1422">
        <v>26</v>
      </c>
      <c r="Z102" s="1422">
        <v>26</v>
      </c>
      <c r="AA102" s="1422">
        <v>26</v>
      </c>
      <c r="AB102" s="1422">
        <v>26</v>
      </c>
      <c r="AC102" s="1422">
        <v>26</v>
      </c>
      <c r="AD102" s="1422">
        <v>26</v>
      </c>
      <c r="AE102" s="1448">
        <v>26</v>
      </c>
      <c r="AF102" s="1449">
        <v>26</v>
      </c>
      <c r="AG102" s="1422">
        <v>26</v>
      </c>
      <c r="AH102" s="1422">
        <v>26</v>
      </c>
      <c r="AI102" s="1422">
        <v>26</v>
      </c>
      <c r="AJ102" s="1422">
        <v>26</v>
      </c>
      <c r="AK102" s="1422">
        <v>26</v>
      </c>
      <c r="AL102" s="1422">
        <v>26</v>
      </c>
      <c r="AM102" s="1450">
        <v>26</v>
      </c>
    </row>
    <row r="103" spans="1:39" ht="14.25" thickBot="1">
      <c r="A103" s="118">
        <f t="shared" si="1"/>
        <v>0</v>
      </c>
      <c r="B103" s="1451">
        <v>30</v>
      </c>
      <c r="C103" s="1427">
        <v>30</v>
      </c>
      <c r="D103" s="1427">
        <v>30</v>
      </c>
      <c r="E103" s="1427">
        <v>30</v>
      </c>
      <c r="F103" s="1427">
        <v>30</v>
      </c>
      <c r="G103" s="1427">
        <v>30</v>
      </c>
      <c r="H103" s="1427">
        <v>30</v>
      </c>
      <c r="I103" s="1427">
        <v>30</v>
      </c>
      <c r="J103" s="1427">
        <v>30</v>
      </c>
      <c r="K103" s="1427">
        <v>30</v>
      </c>
      <c r="L103" s="1452">
        <v>30</v>
      </c>
      <c r="M103" s="1453">
        <v>34.5</v>
      </c>
      <c r="N103" s="1427">
        <v>34.5</v>
      </c>
      <c r="O103" s="1427">
        <v>34.5</v>
      </c>
      <c r="P103" s="1427">
        <v>34.5</v>
      </c>
      <c r="Q103" s="1427">
        <v>34.5</v>
      </c>
      <c r="R103" s="1427">
        <v>34.5</v>
      </c>
      <c r="S103" s="1427">
        <v>34.5</v>
      </c>
      <c r="T103" s="1454">
        <v>34.5</v>
      </c>
      <c r="U103" s="1451">
        <v>26</v>
      </c>
      <c r="V103" s="1427">
        <v>26</v>
      </c>
      <c r="W103" s="1427">
        <v>26</v>
      </c>
      <c r="X103" s="1427">
        <v>26</v>
      </c>
      <c r="Y103" s="1427">
        <v>26</v>
      </c>
      <c r="Z103" s="1427">
        <v>26</v>
      </c>
      <c r="AA103" s="1427">
        <v>26</v>
      </c>
      <c r="AB103" s="1427">
        <v>26</v>
      </c>
      <c r="AC103" s="1427">
        <v>26</v>
      </c>
      <c r="AD103" s="1427">
        <v>26</v>
      </c>
      <c r="AE103" s="1452">
        <v>26</v>
      </c>
      <c r="AF103" s="1453">
        <v>26</v>
      </c>
      <c r="AG103" s="1427">
        <v>26</v>
      </c>
      <c r="AH103" s="1427">
        <v>26</v>
      </c>
      <c r="AI103" s="1427">
        <v>26</v>
      </c>
      <c r="AJ103" s="1427">
        <v>26</v>
      </c>
      <c r="AK103" s="1427">
        <v>26</v>
      </c>
      <c r="AL103" s="1427">
        <v>26</v>
      </c>
      <c r="AM103" s="1454">
        <v>26</v>
      </c>
    </row>
    <row r="104" spans="1:39">
      <c r="B104" s="1455"/>
      <c r="C104" s="1432"/>
      <c r="D104" s="1432"/>
      <c r="E104" s="1432"/>
      <c r="F104" s="1432"/>
      <c r="G104" s="1432"/>
      <c r="H104" s="1432"/>
      <c r="I104" s="1432"/>
      <c r="J104" s="1432"/>
      <c r="K104" s="1432"/>
      <c r="L104" s="1456"/>
      <c r="M104" s="1457"/>
      <c r="N104" s="1432"/>
      <c r="O104" s="1432"/>
      <c r="P104" s="1432"/>
      <c r="Q104" s="1432"/>
      <c r="R104" s="1432"/>
      <c r="S104" s="1432"/>
      <c r="T104" s="1458"/>
      <c r="U104" s="1455"/>
      <c r="V104" s="1432"/>
      <c r="W104" s="1432"/>
      <c r="X104" s="1432"/>
      <c r="Y104" s="1432"/>
      <c r="Z104" s="1432"/>
      <c r="AA104" s="1432"/>
      <c r="AB104" s="1432"/>
      <c r="AC104" s="1432"/>
      <c r="AD104" s="1432"/>
      <c r="AE104" s="1456"/>
      <c r="AF104" s="1457"/>
      <c r="AG104" s="1432"/>
      <c r="AH104" s="1432"/>
      <c r="AI104" s="1432"/>
      <c r="AJ104" s="1432"/>
      <c r="AK104" s="1432"/>
      <c r="AL104" s="1432"/>
      <c r="AM104" s="1458"/>
    </row>
  </sheetData>
  <sheetProtection password="CA14" sheet="1" objects="1" scenarios="1"/>
  <mergeCells count="5">
    <mergeCell ref="B1:L1"/>
    <mergeCell ref="M1:T1"/>
    <mergeCell ref="A1:A2"/>
    <mergeCell ref="U1:AE1"/>
    <mergeCell ref="AF1:AM1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C237"/>
  <sheetViews>
    <sheetView workbookViewId="0">
      <selection activeCell="E3" sqref="E3"/>
    </sheetView>
  </sheetViews>
  <sheetFormatPr defaultRowHeight="13.5"/>
  <cols>
    <col min="1" max="16384" width="9.140625" style="198"/>
  </cols>
  <sheetData>
    <row r="1" spans="1:3">
      <c r="A1" s="198" t="s">
        <v>490</v>
      </c>
      <c r="B1" s="198" t="s">
        <v>762</v>
      </c>
      <c r="C1" s="198" t="s">
        <v>774</v>
      </c>
    </row>
    <row r="2" spans="1:3">
      <c r="A2" s="1295" t="s">
        <v>491</v>
      </c>
      <c r="B2" s="10" t="s">
        <v>764</v>
      </c>
      <c r="C2" s="121" t="s">
        <v>775</v>
      </c>
    </row>
    <row r="3" spans="1:3">
      <c r="A3" s="1295" t="s">
        <v>492</v>
      </c>
      <c r="B3" s="10" t="s">
        <v>763</v>
      </c>
      <c r="C3" s="121" t="s">
        <v>776</v>
      </c>
    </row>
    <row r="4" spans="1:3">
      <c r="A4" s="1295" t="s">
        <v>493</v>
      </c>
      <c r="B4" s="10" t="s">
        <v>765</v>
      </c>
      <c r="C4" s="121" t="s">
        <v>777</v>
      </c>
    </row>
    <row r="5" spans="1:3">
      <c r="A5" s="1295" t="s">
        <v>494</v>
      </c>
      <c r="B5" s="10" t="s">
        <v>766</v>
      </c>
      <c r="C5" s="121" t="s">
        <v>778</v>
      </c>
    </row>
    <row r="6" spans="1:3">
      <c r="A6" s="1295" t="s">
        <v>495</v>
      </c>
      <c r="B6" s="10" t="s">
        <v>767</v>
      </c>
      <c r="C6" s="121" t="s">
        <v>779</v>
      </c>
    </row>
    <row r="7" spans="1:3">
      <c r="A7" s="1295" t="s">
        <v>496</v>
      </c>
      <c r="B7" s="10" t="s">
        <v>768</v>
      </c>
      <c r="C7" s="121" t="s">
        <v>780</v>
      </c>
    </row>
    <row r="8" spans="1:3">
      <c r="A8" s="1295" t="s">
        <v>91</v>
      </c>
      <c r="B8" s="10" t="s">
        <v>769</v>
      </c>
      <c r="C8" s="121" t="s">
        <v>781</v>
      </c>
    </row>
    <row r="9" spans="1:3">
      <c r="A9" s="1295" t="s">
        <v>497</v>
      </c>
      <c r="B9" s="10" t="s">
        <v>770</v>
      </c>
      <c r="C9" s="121" t="s">
        <v>782</v>
      </c>
    </row>
    <row r="10" spans="1:3">
      <c r="A10" s="1295" t="s">
        <v>498</v>
      </c>
      <c r="B10" s="10" t="s">
        <v>771</v>
      </c>
    </row>
    <row r="11" spans="1:3">
      <c r="A11" s="1296" t="s">
        <v>499</v>
      </c>
      <c r="B11" s="10" t="s">
        <v>772</v>
      </c>
    </row>
    <row r="12" spans="1:3">
      <c r="A12" s="1295" t="s">
        <v>500</v>
      </c>
      <c r="B12" s="10" t="s">
        <v>773</v>
      </c>
    </row>
    <row r="13" spans="1:3">
      <c r="A13" s="1295" t="s">
        <v>501</v>
      </c>
    </row>
    <row r="14" spans="1:3">
      <c r="A14" s="1295" t="s">
        <v>502</v>
      </c>
    </row>
    <row r="15" spans="1:3">
      <c r="A15" s="1295" t="s">
        <v>503</v>
      </c>
    </row>
    <row r="16" spans="1:3">
      <c r="A16" s="1295" t="s">
        <v>504</v>
      </c>
    </row>
    <row r="17" spans="1:1">
      <c r="A17" s="1295" t="s">
        <v>505</v>
      </c>
    </row>
    <row r="18" spans="1:1">
      <c r="A18" s="1295" t="s">
        <v>506</v>
      </c>
    </row>
    <row r="19" spans="1:1">
      <c r="A19" s="1295" t="s">
        <v>507</v>
      </c>
    </row>
    <row r="20" spans="1:1">
      <c r="A20" s="1295" t="s">
        <v>508</v>
      </c>
    </row>
    <row r="21" spans="1:1">
      <c r="A21" s="1295" t="s">
        <v>509</v>
      </c>
    </row>
    <row r="22" spans="1:1">
      <c r="A22" s="1295" t="s">
        <v>510</v>
      </c>
    </row>
    <row r="23" spans="1:1">
      <c r="A23" s="1295" t="s">
        <v>511</v>
      </c>
    </row>
    <row r="24" spans="1:1">
      <c r="A24" s="1295" t="s">
        <v>512</v>
      </c>
    </row>
    <row r="25" spans="1:1">
      <c r="A25" s="1295" t="s">
        <v>513</v>
      </c>
    </row>
    <row r="26" spans="1:1">
      <c r="A26" s="1295" t="s">
        <v>514</v>
      </c>
    </row>
    <row r="27" spans="1:1">
      <c r="A27" s="1295" t="s">
        <v>515</v>
      </c>
    </row>
    <row r="28" spans="1:1">
      <c r="A28" s="1295" t="s">
        <v>516</v>
      </c>
    </row>
    <row r="29" spans="1:1">
      <c r="A29" s="1296" t="s">
        <v>517</v>
      </c>
    </row>
    <row r="30" spans="1:1">
      <c r="A30" s="1295" t="s">
        <v>518</v>
      </c>
    </row>
    <row r="31" spans="1:1">
      <c r="A31" s="1295" t="s">
        <v>519</v>
      </c>
    </row>
    <row r="32" spans="1:1">
      <c r="A32" s="1295" t="s">
        <v>520</v>
      </c>
    </row>
    <row r="33" spans="1:1">
      <c r="A33" s="1295" t="s">
        <v>521</v>
      </c>
    </row>
    <row r="34" spans="1:1">
      <c r="A34" s="1295" t="s">
        <v>522</v>
      </c>
    </row>
    <row r="35" spans="1:1">
      <c r="A35" s="1295" t="s">
        <v>523</v>
      </c>
    </row>
    <row r="36" spans="1:1">
      <c r="A36" s="1295" t="s">
        <v>524</v>
      </c>
    </row>
    <row r="37" spans="1:1" ht="14.25" thickBot="1">
      <c r="A37" s="1297" t="s">
        <v>525</v>
      </c>
    </row>
    <row r="38" spans="1:1">
      <c r="A38" s="1298" t="s">
        <v>526</v>
      </c>
    </row>
    <row r="39" spans="1:1">
      <c r="A39" s="1299" t="s">
        <v>527</v>
      </c>
    </row>
    <row r="40" spans="1:1">
      <c r="A40" s="1300" t="s">
        <v>528</v>
      </c>
    </row>
    <row r="41" spans="1:1">
      <c r="A41" s="1301" t="s">
        <v>529</v>
      </c>
    </row>
    <row r="42" spans="1:1">
      <c r="A42" s="1301" t="s">
        <v>530</v>
      </c>
    </row>
    <row r="43" spans="1:1">
      <c r="A43" s="1301" t="s">
        <v>531</v>
      </c>
    </row>
    <row r="44" spans="1:1">
      <c r="A44" s="1301" t="s">
        <v>532</v>
      </c>
    </row>
    <row r="45" spans="1:1">
      <c r="A45" s="1301" t="s">
        <v>533</v>
      </c>
    </row>
    <row r="46" spans="1:1">
      <c r="A46" s="1301" t="s">
        <v>120</v>
      </c>
    </row>
    <row r="47" spans="1:1">
      <c r="A47" s="1301" t="s">
        <v>534</v>
      </c>
    </row>
    <row r="48" spans="1:1">
      <c r="A48" s="1301" t="s">
        <v>535</v>
      </c>
    </row>
    <row r="49" spans="1:1">
      <c r="A49" s="1301" t="s">
        <v>536</v>
      </c>
    </row>
    <row r="50" spans="1:1">
      <c r="A50" s="1301" t="s">
        <v>537</v>
      </c>
    </row>
    <row r="51" spans="1:1">
      <c r="A51" s="1301" t="s">
        <v>538</v>
      </c>
    </row>
    <row r="52" spans="1:1">
      <c r="A52" s="1301" t="s">
        <v>539</v>
      </c>
    </row>
    <row r="53" spans="1:1">
      <c r="A53" s="1301" t="s">
        <v>540</v>
      </c>
    </row>
    <row r="54" spans="1:1">
      <c r="A54" s="1300" t="s">
        <v>541</v>
      </c>
    </row>
    <row r="55" spans="1:1">
      <c r="A55" s="1301" t="s">
        <v>542</v>
      </c>
    </row>
    <row r="56" spans="1:1">
      <c r="A56" s="1301" t="s">
        <v>543</v>
      </c>
    </row>
    <row r="57" spans="1:1">
      <c r="A57" s="1301" t="s">
        <v>544</v>
      </c>
    </row>
    <row r="58" spans="1:1">
      <c r="A58" s="1301" t="s">
        <v>545</v>
      </c>
    </row>
    <row r="59" spans="1:1">
      <c r="A59" s="1301" t="s">
        <v>546</v>
      </c>
    </row>
    <row r="60" spans="1:1">
      <c r="A60" s="1301" t="s">
        <v>207</v>
      </c>
    </row>
    <row r="61" spans="1:1">
      <c r="A61" s="1301" t="s">
        <v>547</v>
      </c>
    </row>
    <row r="62" spans="1:1">
      <c r="A62" s="1301" t="s">
        <v>548</v>
      </c>
    </row>
    <row r="63" spans="1:1">
      <c r="A63" s="1301" t="s">
        <v>549</v>
      </c>
    </row>
    <row r="64" spans="1:1">
      <c r="A64" s="1301" t="s">
        <v>550</v>
      </c>
    </row>
    <row r="65" spans="1:1">
      <c r="A65" s="1301" t="s">
        <v>551</v>
      </c>
    </row>
    <row r="66" spans="1:1">
      <c r="A66" s="1301" t="s">
        <v>552</v>
      </c>
    </row>
    <row r="67" spans="1:1">
      <c r="A67" s="1301" t="s">
        <v>553</v>
      </c>
    </row>
    <row r="68" spans="1:1">
      <c r="A68" s="1301" t="s">
        <v>554</v>
      </c>
    </row>
    <row r="69" spans="1:1">
      <c r="A69" s="1301" t="s">
        <v>555</v>
      </c>
    </row>
    <row r="70" spans="1:1">
      <c r="A70" s="1301" t="s">
        <v>556</v>
      </c>
    </row>
    <row r="71" spans="1:1">
      <c r="A71" s="1301" t="s">
        <v>557</v>
      </c>
    </row>
    <row r="72" spans="1:1">
      <c r="A72" s="1301" t="s">
        <v>121</v>
      </c>
    </row>
    <row r="73" spans="1:1">
      <c r="A73" s="1301" t="s">
        <v>558</v>
      </c>
    </row>
    <row r="74" spans="1:1">
      <c r="A74" s="1301" t="s">
        <v>559</v>
      </c>
    </row>
    <row r="75" spans="1:1">
      <c r="A75" s="1301" t="s">
        <v>560</v>
      </c>
    </row>
    <row r="76" spans="1:1" ht="14.25" thickBot="1">
      <c r="A76" s="1302" t="s">
        <v>561</v>
      </c>
    </row>
    <row r="77" spans="1:1">
      <c r="A77" s="1303" t="s">
        <v>562</v>
      </c>
    </row>
    <row r="78" spans="1:1">
      <c r="A78" s="1304" t="s">
        <v>563</v>
      </c>
    </row>
    <row r="79" spans="1:1">
      <c r="A79" s="1304" t="s">
        <v>564</v>
      </c>
    </row>
    <row r="80" spans="1:1">
      <c r="A80" s="1304" t="s">
        <v>565</v>
      </c>
    </row>
    <row r="81" spans="1:1">
      <c r="A81" s="1304" t="s">
        <v>566</v>
      </c>
    </row>
    <row r="82" spans="1:1">
      <c r="A82" s="1304" t="s">
        <v>567</v>
      </c>
    </row>
    <row r="83" spans="1:1">
      <c r="A83" s="1304" t="s">
        <v>568</v>
      </c>
    </row>
    <row r="84" spans="1:1">
      <c r="A84" s="1304" t="s">
        <v>569</v>
      </c>
    </row>
    <row r="85" spans="1:1">
      <c r="A85" s="1304" t="s">
        <v>570</v>
      </c>
    </row>
    <row r="86" spans="1:1">
      <c r="A86" s="1304" t="s">
        <v>571</v>
      </c>
    </row>
    <row r="87" spans="1:1">
      <c r="A87" s="1304" t="s">
        <v>572</v>
      </c>
    </row>
    <row r="88" spans="1:1">
      <c r="A88" s="1304" t="s">
        <v>573</v>
      </c>
    </row>
    <row r="89" spans="1:1">
      <c r="A89" s="1303" t="s">
        <v>574</v>
      </c>
    </row>
    <row r="90" spans="1:1">
      <c r="A90" s="1304" t="s">
        <v>575</v>
      </c>
    </row>
    <row r="91" spans="1:1">
      <c r="A91" s="1304" t="s">
        <v>576</v>
      </c>
    </row>
    <row r="92" spans="1:1">
      <c r="A92" s="1304" t="s">
        <v>577</v>
      </c>
    </row>
    <row r="93" spans="1:1">
      <c r="A93" s="1304" t="s">
        <v>578</v>
      </c>
    </row>
    <row r="94" spans="1:1">
      <c r="A94" s="1304" t="s">
        <v>579</v>
      </c>
    </row>
    <row r="95" spans="1:1">
      <c r="A95" s="1304" t="s">
        <v>580</v>
      </c>
    </row>
    <row r="96" spans="1:1">
      <c r="A96" s="1304" t="s">
        <v>581</v>
      </c>
    </row>
    <row r="97" spans="1:1">
      <c r="A97" s="1304" t="s">
        <v>582</v>
      </c>
    </row>
    <row r="98" spans="1:1">
      <c r="A98" s="1303" t="s">
        <v>583</v>
      </c>
    </row>
    <row r="99" spans="1:1">
      <c r="A99" s="1304" t="s">
        <v>584</v>
      </c>
    </row>
    <row r="100" spans="1:1">
      <c r="A100" s="1304" t="s">
        <v>585</v>
      </c>
    </row>
    <row r="101" spans="1:1">
      <c r="A101" s="1304" t="s">
        <v>586</v>
      </c>
    </row>
    <row r="102" spans="1:1">
      <c r="A102" s="1304" t="s">
        <v>587</v>
      </c>
    </row>
    <row r="103" spans="1:1">
      <c r="A103" s="1304" t="s">
        <v>588</v>
      </c>
    </row>
    <row r="104" spans="1:1">
      <c r="A104" s="1304" t="s">
        <v>589</v>
      </c>
    </row>
    <row r="105" spans="1:1">
      <c r="A105" s="1304" t="s">
        <v>590</v>
      </c>
    </row>
    <row r="106" spans="1:1">
      <c r="A106" s="1304" t="s">
        <v>591</v>
      </c>
    </row>
    <row r="107" spans="1:1">
      <c r="A107" s="1304" t="s">
        <v>592</v>
      </c>
    </row>
    <row r="108" spans="1:1">
      <c r="A108" s="1304" t="s">
        <v>593</v>
      </c>
    </row>
    <row r="109" spans="1:1">
      <c r="A109" s="1304" t="s">
        <v>594</v>
      </c>
    </row>
    <row r="110" spans="1:1">
      <c r="A110" s="1304" t="s">
        <v>595</v>
      </c>
    </row>
    <row r="111" spans="1:1">
      <c r="A111" s="1304" t="s">
        <v>596</v>
      </c>
    </row>
    <row r="112" spans="1:1">
      <c r="A112" s="1304" t="s">
        <v>597</v>
      </c>
    </row>
    <row r="113" spans="1:1" ht="14.25" thickBot="1">
      <c r="A113" s="1305" t="s">
        <v>598</v>
      </c>
    </row>
    <row r="114" spans="1:1">
      <c r="A114" s="1306" t="s">
        <v>599</v>
      </c>
    </row>
    <row r="115" spans="1:1">
      <c r="A115" s="1307" t="s">
        <v>600</v>
      </c>
    </row>
    <row r="116" spans="1:1">
      <c r="A116" s="1307" t="s">
        <v>601</v>
      </c>
    </row>
    <row r="117" spans="1:1">
      <c r="A117" s="1307" t="s">
        <v>602</v>
      </c>
    </row>
    <row r="118" spans="1:1">
      <c r="A118" s="1307" t="s">
        <v>603</v>
      </c>
    </row>
    <row r="119" spans="1:1">
      <c r="A119" s="1307" t="s">
        <v>604</v>
      </c>
    </row>
    <row r="120" spans="1:1">
      <c r="A120" s="1307" t="s">
        <v>605</v>
      </c>
    </row>
    <row r="121" spans="1:1">
      <c r="A121" s="1307" t="s">
        <v>606</v>
      </c>
    </row>
    <row r="122" spans="1:1">
      <c r="A122" s="1307" t="s">
        <v>607</v>
      </c>
    </row>
    <row r="123" spans="1:1">
      <c r="A123" s="1307" t="s">
        <v>608</v>
      </c>
    </row>
    <row r="124" spans="1:1">
      <c r="A124" s="1307" t="s">
        <v>609</v>
      </c>
    </row>
    <row r="125" spans="1:1">
      <c r="A125" s="1307" t="s">
        <v>610</v>
      </c>
    </row>
    <row r="126" spans="1:1">
      <c r="A126" s="1307" t="s">
        <v>611</v>
      </c>
    </row>
    <row r="127" spans="1:1">
      <c r="A127" s="1307" t="s">
        <v>612</v>
      </c>
    </row>
    <row r="128" spans="1:1">
      <c r="A128" s="1307" t="s">
        <v>613</v>
      </c>
    </row>
    <row r="129" spans="1:1">
      <c r="A129" s="1307" t="s">
        <v>614</v>
      </c>
    </row>
    <row r="130" spans="1:1">
      <c r="A130" s="1306" t="s">
        <v>615</v>
      </c>
    </row>
    <row r="131" spans="1:1">
      <c r="A131" s="1307" t="s">
        <v>616</v>
      </c>
    </row>
    <row r="132" spans="1:1">
      <c r="A132" s="1307" t="s">
        <v>617</v>
      </c>
    </row>
    <row r="133" spans="1:1">
      <c r="A133" s="1307" t="s">
        <v>618</v>
      </c>
    </row>
    <row r="134" spans="1:1">
      <c r="A134" s="1307" t="s">
        <v>619</v>
      </c>
    </row>
    <row r="135" spans="1:1">
      <c r="A135" s="1307" t="s">
        <v>620</v>
      </c>
    </row>
    <row r="136" spans="1:1">
      <c r="A136" s="1307" t="s">
        <v>621</v>
      </c>
    </row>
    <row r="137" spans="1:1">
      <c r="A137" s="1307" t="s">
        <v>622</v>
      </c>
    </row>
    <row r="138" spans="1:1">
      <c r="A138" s="1307" t="s">
        <v>623</v>
      </c>
    </row>
    <row r="139" spans="1:1">
      <c r="A139" s="1307" t="s">
        <v>624</v>
      </c>
    </row>
    <row r="140" spans="1:1">
      <c r="A140" s="1307" t="s">
        <v>625</v>
      </c>
    </row>
    <row r="141" spans="1:1">
      <c r="A141" s="1307" t="s">
        <v>626</v>
      </c>
    </row>
    <row r="142" spans="1:1">
      <c r="A142" s="1307" t="s">
        <v>627</v>
      </c>
    </row>
    <row r="143" spans="1:1">
      <c r="A143" s="1307" t="s">
        <v>628</v>
      </c>
    </row>
    <row r="144" spans="1:1">
      <c r="A144" s="1307" t="s">
        <v>629</v>
      </c>
    </row>
    <row r="145" spans="1:1">
      <c r="A145" s="1307" t="s">
        <v>630</v>
      </c>
    </row>
    <row r="146" spans="1:1">
      <c r="A146" s="1307" t="s">
        <v>631</v>
      </c>
    </row>
    <row r="147" spans="1:1">
      <c r="A147" s="1307" t="s">
        <v>632</v>
      </c>
    </row>
    <row r="148" spans="1:1">
      <c r="A148" s="1307" t="s">
        <v>633</v>
      </c>
    </row>
    <row r="149" spans="1:1" ht="14.25" thickBot="1">
      <c r="A149" s="1308" t="s">
        <v>634</v>
      </c>
    </row>
    <row r="150" spans="1:1">
      <c r="A150" s="1309" t="s">
        <v>635</v>
      </c>
    </row>
    <row r="151" spans="1:1">
      <c r="A151" s="1310" t="s">
        <v>636</v>
      </c>
    </row>
    <row r="152" spans="1:1">
      <c r="A152" s="1310" t="s">
        <v>637</v>
      </c>
    </row>
    <row r="153" spans="1:1">
      <c r="A153" s="1310" t="s">
        <v>90</v>
      </c>
    </row>
    <row r="154" spans="1:1">
      <c r="A154" s="1310" t="s">
        <v>638</v>
      </c>
    </row>
    <row r="155" spans="1:1">
      <c r="A155" s="1310" t="s">
        <v>639</v>
      </c>
    </row>
    <row r="156" spans="1:1">
      <c r="A156" s="1310" t="s">
        <v>640</v>
      </c>
    </row>
    <row r="157" spans="1:1">
      <c r="A157" s="1310" t="s">
        <v>641</v>
      </c>
    </row>
    <row r="158" spans="1:1">
      <c r="A158" s="1310" t="s">
        <v>642</v>
      </c>
    </row>
    <row r="159" spans="1:1">
      <c r="A159" s="1310" t="s">
        <v>643</v>
      </c>
    </row>
    <row r="160" spans="1:1">
      <c r="A160" s="1310" t="s">
        <v>644</v>
      </c>
    </row>
    <row r="161" spans="1:1">
      <c r="A161" s="1310" t="s">
        <v>645</v>
      </c>
    </row>
    <row r="162" spans="1:1">
      <c r="A162" s="1309" t="s">
        <v>646</v>
      </c>
    </row>
    <row r="163" spans="1:1">
      <c r="A163" s="1310" t="s">
        <v>647</v>
      </c>
    </row>
    <row r="164" spans="1:1">
      <c r="A164" s="1310" t="s">
        <v>648</v>
      </c>
    </row>
    <row r="165" spans="1:1">
      <c r="A165" s="1310" t="s">
        <v>649</v>
      </c>
    </row>
    <row r="166" spans="1:1">
      <c r="A166" s="1310" t="s">
        <v>650</v>
      </c>
    </row>
    <row r="167" spans="1:1">
      <c r="A167" s="1310" t="s">
        <v>651</v>
      </c>
    </row>
    <row r="168" spans="1:1">
      <c r="A168" s="1310" t="s">
        <v>652</v>
      </c>
    </row>
    <row r="169" spans="1:1">
      <c r="A169" s="1310" t="s">
        <v>653</v>
      </c>
    </row>
    <row r="170" spans="1:1">
      <c r="A170" s="1310" t="s">
        <v>654</v>
      </c>
    </row>
    <row r="171" spans="1:1">
      <c r="A171" s="1310" t="s">
        <v>655</v>
      </c>
    </row>
    <row r="172" spans="1:1">
      <c r="A172" s="1310" t="s">
        <v>510</v>
      </c>
    </row>
    <row r="173" spans="1:1">
      <c r="A173" s="1310" t="s">
        <v>656</v>
      </c>
    </row>
    <row r="174" spans="1:1">
      <c r="A174" s="1310" t="s">
        <v>208</v>
      </c>
    </row>
    <row r="175" spans="1:1">
      <c r="A175" s="1310" t="s">
        <v>657</v>
      </c>
    </row>
    <row r="176" spans="1:1">
      <c r="A176" s="1310" t="s">
        <v>658</v>
      </c>
    </row>
    <row r="177" spans="1:1">
      <c r="A177" s="1310" t="s">
        <v>659</v>
      </c>
    </row>
    <row r="178" spans="1:1">
      <c r="A178" s="1310" t="s">
        <v>660</v>
      </c>
    </row>
    <row r="179" spans="1:1">
      <c r="A179" s="1310" t="s">
        <v>661</v>
      </c>
    </row>
    <row r="180" spans="1:1">
      <c r="A180" s="1310" t="s">
        <v>662</v>
      </c>
    </row>
    <row r="181" spans="1:1">
      <c r="A181" s="1310" t="s">
        <v>206</v>
      </c>
    </row>
    <row r="182" spans="1:1">
      <c r="A182" s="1310" t="s">
        <v>663</v>
      </c>
    </row>
    <row r="183" spans="1:1">
      <c r="A183" s="1310" t="s">
        <v>664</v>
      </c>
    </row>
    <row r="184" spans="1:1">
      <c r="A184" s="1310" t="s">
        <v>665</v>
      </c>
    </row>
    <row r="185" spans="1:1" ht="14.25" thickBot="1">
      <c r="A185" s="1311" t="s">
        <v>666</v>
      </c>
    </row>
    <row r="186" spans="1:1">
      <c r="A186" s="1312" t="s">
        <v>667</v>
      </c>
    </row>
    <row r="187" spans="1:1">
      <c r="A187" s="1313" t="s">
        <v>668</v>
      </c>
    </row>
    <row r="188" spans="1:1">
      <c r="A188" s="1313" t="s">
        <v>669</v>
      </c>
    </row>
    <row r="189" spans="1:1">
      <c r="A189" s="1313" t="s">
        <v>670</v>
      </c>
    </row>
    <row r="190" spans="1:1">
      <c r="A190" s="1313" t="s">
        <v>671</v>
      </c>
    </row>
    <row r="191" spans="1:1">
      <c r="A191" s="1313" t="s">
        <v>119</v>
      </c>
    </row>
    <row r="192" spans="1:1">
      <c r="A192" s="1313" t="s">
        <v>672</v>
      </c>
    </row>
    <row r="193" spans="1:1">
      <c r="A193" s="1313" t="s">
        <v>673</v>
      </c>
    </row>
    <row r="194" spans="1:1">
      <c r="A194" s="1313" t="s">
        <v>674</v>
      </c>
    </row>
    <row r="195" spans="1:1">
      <c r="A195" s="1313" t="s">
        <v>675</v>
      </c>
    </row>
    <row r="196" spans="1:1">
      <c r="A196" s="1313" t="s">
        <v>676</v>
      </c>
    </row>
    <row r="197" spans="1:1">
      <c r="A197" s="1313" t="s">
        <v>677</v>
      </c>
    </row>
    <row r="198" spans="1:1">
      <c r="A198" s="1313" t="s">
        <v>678</v>
      </c>
    </row>
    <row r="199" spans="1:1">
      <c r="A199" s="1312" t="s">
        <v>678</v>
      </c>
    </row>
    <row r="200" spans="1:1">
      <c r="A200" s="1313" t="s">
        <v>679</v>
      </c>
    </row>
    <row r="201" spans="1:1">
      <c r="A201" s="1313" t="s">
        <v>680</v>
      </c>
    </row>
    <row r="202" spans="1:1">
      <c r="A202" s="1313" t="s">
        <v>681</v>
      </c>
    </row>
    <row r="203" spans="1:1">
      <c r="A203" s="1313" t="s">
        <v>682</v>
      </c>
    </row>
    <row r="204" spans="1:1">
      <c r="A204" s="1313" t="s">
        <v>683</v>
      </c>
    </row>
    <row r="205" spans="1:1">
      <c r="A205" s="1313" t="s">
        <v>684</v>
      </c>
    </row>
    <row r="206" spans="1:1">
      <c r="A206" s="1313" t="s">
        <v>685</v>
      </c>
    </row>
    <row r="207" spans="1:1">
      <c r="A207" s="1313" t="s">
        <v>686</v>
      </c>
    </row>
    <row r="208" spans="1:1">
      <c r="A208" s="1313" t="s">
        <v>687</v>
      </c>
    </row>
    <row r="209" spans="1:1">
      <c r="A209" s="1313" t="s">
        <v>688</v>
      </c>
    </row>
    <row r="210" spans="1:1">
      <c r="A210" s="1313" t="s">
        <v>689</v>
      </c>
    </row>
    <row r="211" spans="1:1">
      <c r="A211" s="1313" t="s">
        <v>690</v>
      </c>
    </row>
    <row r="212" spans="1:1" ht="14.25" thickBot="1">
      <c r="A212" s="1314" t="s">
        <v>691</v>
      </c>
    </row>
    <row r="213" spans="1:1">
      <c r="A213" s="1315" t="s">
        <v>692</v>
      </c>
    </row>
    <row r="214" spans="1:1">
      <c r="A214" s="1316" t="s">
        <v>693</v>
      </c>
    </row>
    <row r="215" spans="1:1">
      <c r="A215" s="1316" t="s">
        <v>694</v>
      </c>
    </row>
    <row r="216" spans="1:1">
      <c r="A216" s="1316" t="s">
        <v>695</v>
      </c>
    </row>
    <row r="217" spans="1:1">
      <c r="A217" s="1316" t="s">
        <v>696</v>
      </c>
    </row>
    <row r="218" spans="1:1">
      <c r="A218" s="1316" t="s">
        <v>697</v>
      </c>
    </row>
    <row r="219" spans="1:1">
      <c r="A219" s="1316" t="s">
        <v>698</v>
      </c>
    </row>
    <row r="220" spans="1:1">
      <c r="A220" s="1316" t="s">
        <v>699</v>
      </c>
    </row>
    <row r="221" spans="1:1">
      <c r="A221" s="1316" t="s">
        <v>700</v>
      </c>
    </row>
    <row r="222" spans="1:1">
      <c r="A222" s="1316" t="s">
        <v>701</v>
      </c>
    </row>
    <row r="223" spans="1:1">
      <c r="A223" s="1316" t="s">
        <v>702</v>
      </c>
    </row>
    <row r="224" spans="1:1">
      <c r="A224" s="1316" t="s">
        <v>703</v>
      </c>
    </row>
    <row r="225" spans="1:1">
      <c r="A225" s="1316" t="s">
        <v>704</v>
      </c>
    </row>
    <row r="226" spans="1:1">
      <c r="A226" s="1316" t="s">
        <v>705</v>
      </c>
    </row>
    <row r="227" spans="1:1">
      <c r="A227" s="1316" t="s">
        <v>706</v>
      </c>
    </row>
    <row r="228" spans="1:1">
      <c r="A228" s="1316" t="s">
        <v>707</v>
      </c>
    </row>
    <row r="229" spans="1:1">
      <c r="A229" s="1316" t="s">
        <v>708</v>
      </c>
    </row>
    <row r="230" spans="1:1">
      <c r="A230" s="1316" t="s">
        <v>709</v>
      </c>
    </row>
    <row r="231" spans="1:1">
      <c r="A231" s="1316" t="s">
        <v>710</v>
      </c>
    </row>
    <row r="232" spans="1:1">
      <c r="A232" s="1316" t="s">
        <v>711</v>
      </c>
    </row>
    <row r="233" spans="1:1">
      <c r="A233" s="1316" t="s">
        <v>712</v>
      </c>
    </row>
    <row r="234" spans="1:1">
      <c r="A234" s="1316" t="s">
        <v>713</v>
      </c>
    </row>
    <row r="235" spans="1:1">
      <c r="A235" s="1316" t="s">
        <v>714</v>
      </c>
    </row>
    <row r="236" spans="1:1" ht="14.25" thickBot="1">
      <c r="A236" s="1317" t="s">
        <v>715</v>
      </c>
    </row>
    <row r="237" spans="1:1">
      <c r="A237" s="198" t="s">
        <v>785</v>
      </c>
    </row>
  </sheetData>
  <sheetProtection sheet="1" objects="1" scenarios="1"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5</vt:i4>
      </vt:variant>
      <vt:variant>
        <vt:lpstr>이름이 지정된 범위</vt:lpstr>
      </vt:variant>
      <vt:variant>
        <vt:i4>3</vt:i4>
      </vt:variant>
    </vt:vector>
  </HeadingPairs>
  <TitlesOfParts>
    <vt:vector size="8" baseType="lpstr">
      <vt:lpstr>성적입력</vt:lpstr>
      <vt:lpstr>계산도구</vt:lpstr>
      <vt:lpstr>보정점수표</vt:lpstr>
      <vt:lpstr>서울대,한양대보정별첨</vt:lpstr>
      <vt:lpstr>목록표</vt:lpstr>
      <vt:lpstr>문과생</vt:lpstr>
      <vt:lpstr>사탐</vt:lpstr>
      <vt:lpstr>제2외</vt:lpstr>
    </vt:vector>
  </TitlesOfParts>
  <Company>Bogil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Mm반정선생</dc:creator>
  <cp:lastModifiedBy>Mm반정선생</cp:lastModifiedBy>
  <cp:lastPrinted>2009-12-24T06:44:32Z</cp:lastPrinted>
  <dcterms:created xsi:type="dcterms:W3CDTF">2009-11-21T01:50:21Z</dcterms:created>
  <dcterms:modified xsi:type="dcterms:W3CDTF">2010-12-19T04:43:10Z</dcterms:modified>
</cp:coreProperties>
</file>